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kar\OneDrive\RAHANGDALE Sir\Gondia\Goregaon\1 st Reply\"/>
    </mc:Choice>
  </mc:AlternateContent>
  <bookViews>
    <workbookView xWindow="0" yWindow="0" windowWidth="20490" windowHeight="7365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Sales Schedule" sheetId="8" r:id="rId9"/>
    <sheet name="CS-FG" sheetId="7" r:id="rId10"/>
    <sheet name="Farm Implement Business" sheetId="22" state="hidden" r:id="rId11"/>
    <sheet name="Production Level Support" sheetId="21" state="hidden" r:id="rId12"/>
    <sheet name="Manpower Schedule" sheetId="9" r:id="rId13"/>
    <sheet name="Opex Schedule" sheetId="10" r:id="rId14"/>
    <sheet name="WC Req" sheetId="23" state="hidden" r:id="rId15"/>
    <sheet name="Ammortization" sheetId="37" r:id="rId16"/>
    <sheet name="WC Assessment" sheetId="11" r:id="rId17"/>
    <sheet name="P&amp;L" sheetId="12" r:id="rId18"/>
    <sheet name="Tax" sheetId="14" r:id="rId19"/>
    <sheet name="BS" sheetId="15" r:id="rId20"/>
    <sheet name="CF" sheetId="16" r:id="rId21"/>
    <sheet name="TL Schedule" sheetId="24" r:id="rId22"/>
    <sheet name="Interest" sheetId="13" r:id="rId23"/>
    <sheet name="NPV" sheetId="30" r:id="rId24"/>
    <sheet name="IRR" sheetId="29" r:id="rId25"/>
    <sheet name="ROCE and Payback" sheetId="34" r:id="rId26"/>
    <sheet name="Debt Equity" sheetId="33" r:id="rId27"/>
    <sheet name="Break Even" sheetId="32" state="hidden" r:id="rId28"/>
    <sheet name="DSCR" sheetId="31" state="hidden" r:id="rId29"/>
    <sheet name="BEP &amp; DSCR" sheetId="17" r:id="rId30"/>
    <sheet name="Sheet19" sheetId="19" state="hidden" r:id="rId31"/>
    <sheet name="Sheet6" sheetId="25" state="hidden" r:id="rId32"/>
    <sheet name="Benefit-FPO-Producer" sheetId="26" state="hidden" r:id="rId33"/>
    <sheet name="Sheet2" sheetId="27" state="hidden" r:id="rId34"/>
    <sheet name="Economic Analysis" sheetId="28" state="hidden" r:id="rId35"/>
    <sheet name="Sheet9" sheetId="35" state="hidden" r:id="rId36"/>
    <sheet name="sensitivity" sheetId="36" r:id="rId37"/>
    <sheet name="Member Data" sheetId="38" r:id="rId38"/>
  </sheets>
  <externalReferences>
    <externalReference r:id="rId39"/>
    <externalReference r:id="rId40"/>
  </externalReferences>
  <definedNames>
    <definedName name="_xlnm.Print_Area" localSheetId="0">'Capital Cost'!$A$1:$C$33</definedName>
    <definedName name="_xlnm.Print_Area" localSheetId="4">Depn!$B$1:$Y$24</definedName>
    <definedName name="_xlnm.Print_Area" localSheetId="24">IRR!$A$1:$K$28</definedName>
    <definedName name="_xlnm.Print_Area" localSheetId="13">'Opex Schedule'!$A$1:$L$42</definedName>
    <definedName name="_xlnm.Print_Area" localSheetId="5">'Output Schedule'!$A$1:$K$37</definedName>
    <definedName name="_xlnm.Print_Area" localSheetId="25">'ROCE and Payback'!$A$1:$K$19</definedName>
  </definedNames>
  <calcPr calcId="152511"/>
</workbook>
</file>

<file path=xl/calcChain.xml><?xml version="1.0" encoding="utf-8"?>
<calcChain xmlns="http://schemas.openxmlformats.org/spreadsheetml/2006/main">
  <c r="B3" i="37" l="1"/>
  <c r="B10" i="2"/>
  <c r="C7" i="20" l="1"/>
  <c r="M30" i="10"/>
  <c r="C22" i="10"/>
  <c r="D16" i="10"/>
  <c r="E16" i="10"/>
  <c r="F16" i="10" s="1"/>
  <c r="G16" i="10" s="1"/>
  <c r="H16" i="10" s="1"/>
  <c r="I16" i="10" s="1"/>
  <c r="J16" i="10" s="1"/>
  <c r="K16" i="10" s="1"/>
  <c r="L16" i="10" s="1"/>
  <c r="C16" i="10"/>
  <c r="C15" i="10"/>
  <c r="C14" i="10"/>
  <c r="C12" i="10"/>
  <c r="C8" i="10"/>
  <c r="C7" i="10"/>
  <c r="C6" i="10"/>
  <c r="J9" i="4"/>
  <c r="J8" i="4"/>
  <c r="C13" i="4"/>
  <c r="D13" i="4" s="1"/>
  <c r="E13" i="4" s="1"/>
  <c r="F13" i="4" s="1"/>
  <c r="G13" i="4" s="1"/>
  <c r="H13" i="4" s="1"/>
  <c r="I13" i="4" s="1"/>
  <c r="J13" i="4" s="1"/>
  <c r="K13" i="4" s="1"/>
  <c r="C13" i="20"/>
  <c r="C29" i="20"/>
  <c r="D4" i="38" l="1"/>
  <c r="E4" i="38" s="1"/>
  <c r="F4" i="38" s="1"/>
  <c r="G4" i="38" s="1"/>
  <c r="H4" i="38" s="1"/>
  <c r="I4" i="38" s="1"/>
  <c r="J4" i="38" s="1"/>
  <c r="K4" i="38" s="1"/>
  <c r="K10" i="38" s="1"/>
  <c r="C4" i="38"/>
  <c r="C5" i="38" s="1"/>
  <c r="B11" i="38"/>
  <c r="C10" i="38"/>
  <c r="B10" i="38"/>
  <c r="D8" i="10"/>
  <c r="E8" i="10" s="1"/>
  <c r="F8" i="10" s="1"/>
  <c r="G8" i="10" s="1"/>
  <c r="H8" i="10" s="1"/>
  <c r="I8" i="10" s="1"/>
  <c r="J8" i="10" s="1"/>
  <c r="K8" i="10" s="1"/>
  <c r="L8" i="10" s="1"/>
  <c r="D5" i="38" l="1"/>
  <c r="E5" i="38" s="1"/>
  <c r="F5" i="38" s="1"/>
  <c r="G5" i="38" s="1"/>
  <c r="H5" i="38" s="1"/>
  <c r="I5" i="38" s="1"/>
  <c r="J5" i="38" s="1"/>
  <c r="K5" i="38" s="1"/>
  <c r="C11" i="38"/>
  <c r="G10" i="38"/>
  <c r="J10" i="38"/>
  <c r="F10" i="38"/>
  <c r="I10" i="38"/>
  <c r="E10" i="38"/>
  <c r="H10" i="38"/>
  <c r="D10" i="38"/>
  <c r="C13" i="38"/>
  <c r="C15" i="38" s="1"/>
  <c r="C16" i="38" s="1"/>
  <c r="B13" i="38"/>
  <c r="B15" i="38" s="1"/>
  <c r="B16" i="38" s="1"/>
  <c r="A17" i="36"/>
  <c r="A29" i="36" s="1"/>
  <c r="A41" i="36" s="1"/>
  <c r="C54" i="18"/>
  <c r="C51" i="7"/>
  <c r="C15" i="8"/>
  <c r="D32" i="7"/>
  <c r="D54" i="18" s="1"/>
  <c r="D31" i="7"/>
  <c r="E31" i="7" s="1"/>
  <c r="F31" i="7" s="1"/>
  <c r="G31" i="7" s="1"/>
  <c r="H31" i="7" s="1"/>
  <c r="I31" i="7" s="1"/>
  <c r="J31" i="7" s="1"/>
  <c r="K31" i="7" s="1"/>
  <c r="L31" i="7" s="1"/>
  <c r="D30" i="7"/>
  <c r="E30" i="7" s="1"/>
  <c r="F30" i="7" s="1"/>
  <c r="G30" i="7" s="1"/>
  <c r="H30" i="7" s="1"/>
  <c r="I30" i="7" s="1"/>
  <c r="J30" i="7" s="1"/>
  <c r="K30" i="7" s="1"/>
  <c r="L30" i="7" s="1"/>
  <c r="D29" i="7"/>
  <c r="E29" i="7" s="1"/>
  <c r="F29" i="7" s="1"/>
  <c r="G29" i="7" s="1"/>
  <c r="H29" i="7" s="1"/>
  <c r="I29" i="7" s="1"/>
  <c r="J29" i="7" s="1"/>
  <c r="K29" i="7" s="1"/>
  <c r="L29" i="7" s="1"/>
  <c r="C23" i="7"/>
  <c r="C21" i="18"/>
  <c r="C20" i="18"/>
  <c r="C18" i="18"/>
  <c r="B21" i="18"/>
  <c r="B20" i="18"/>
  <c r="B19" i="18"/>
  <c r="B18" i="18"/>
  <c r="N29" i="4"/>
  <c r="A30" i="4"/>
  <c r="B22" i="7" s="1"/>
  <c r="A29" i="4"/>
  <c r="B16" i="7" s="1"/>
  <c r="A28" i="4"/>
  <c r="B10" i="7" s="1"/>
  <c r="A27" i="4"/>
  <c r="E32" i="7" l="1"/>
  <c r="D15" i="8"/>
  <c r="D11" i="38"/>
  <c r="E11" i="38"/>
  <c r="B32" i="7"/>
  <c r="B54" i="18" s="1"/>
  <c r="B46" i="7"/>
  <c r="B14" i="8"/>
  <c r="F32" i="7" l="1"/>
  <c r="E54" i="18"/>
  <c r="E15" i="8"/>
  <c r="D13" i="38"/>
  <c r="D15" i="38" s="1"/>
  <c r="D16" i="38" s="1"/>
  <c r="F11" i="38"/>
  <c r="A4" i="36"/>
  <c r="A16" i="36" s="1"/>
  <c r="A28" i="36" s="1"/>
  <c r="A40" i="36" s="1"/>
  <c r="A3" i="36"/>
  <c r="A15" i="36" s="1"/>
  <c r="A27" i="36" s="1"/>
  <c r="A39" i="36" s="1"/>
  <c r="G32" i="7" l="1"/>
  <c r="F54" i="18"/>
  <c r="F15" i="8"/>
  <c r="E13" i="38"/>
  <c r="E15" i="38" s="1"/>
  <c r="E16" i="38" s="1"/>
  <c r="G11" i="38"/>
  <c r="C11" i="5"/>
  <c r="D11" i="5" s="1"/>
  <c r="E11" i="5" s="1"/>
  <c r="F11" i="5" s="1"/>
  <c r="G11" i="5" s="1"/>
  <c r="H11" i="5" s="1"/>
  <c r="I11" i="5" s="1"/>
  <c r="J11" i="5" s="1"/>
  <c r="K11" i="5" s="1"/>
  <c r="K8" i="4"/>
  <c r="H32" i="7" l="1"/>
  <c r="G54" i="18"/>
  <c r="G15" i="8"/>
  <c r="F13" i="38"/>
  <c r="F15" i="38" s="1"/>
  <c r="F16" i="38" s="1"/>
  <c r="H11" i="38"/>
  <c r="B11" i="2"/>
  <c r="B8" i="2"/>
  <c r="I32" i="7" l="1"/>
  <c r="H54" i="18"/>
  <c r="H15" i="8"/>
  <c r="G13" i="38"/>
  <c r="G15" i="38" s="1"/>
  <c r="G16" i="38" s="1"/>
  <c r="I11" i="38"/>
  <c r="J32" i="7" l="1"/>
  <c r="I54" i="18"/>
  <c r="I15" i="8"/>
  <c r="H13" i="38"/>
  <c r="H15" i="38" s="1"/>
  <c r="H16" i="38" s="1"/>
  <c r="J11" i="38"/>
  <c r="N28" i="4"/>
  <c r="N30" i="4"/>
  <c r="N27" i="4"/>
  <c r="K32" i="7" l="1"/>
  <c r="J54" i="18"/>
  <c r="J15" i="8"/>
  <c r="I13" i="38"/>
  <c r="I15" i="38" s="1"/>
  <c r="I16" i="38" s="1"/>
  <c r="K11" i="38"/>
  <c r="N32" i="4"/>
  <c r="I56" i="17"/>
  <c r="J56" i="17"/>
  <c r="K56" i="17"/>
  <c r="K24" i="16"/>
  <c r="L24" i="16"/>
  <c r="M24" i="16"/>
  <c r="M25" i="16"/>
  <c r="K26" i="16"/>
  <c r="J20" i="15"/>
  <c r="L25" i="16" s="1"/>
  <c r="K20" i="15"/>
  <c r="L20" i="15"/>
  <c r="I30" i="12"/>
  <c r="I52" i="17" s="1"/>
  <c r="J30" i="12"/>
  <c r="J37" i="17" s="1"/>
  <c r="K30" i="12"/>
  <c r="K52" i="17" s="1"/>
  <c r="B27" i="12"/>
  <c r="C5" i="37" s="1"/>
  <c r="I32" i="4"/>
  <c r="J32" i="4"/>
  <c r="K32" i="4"/>
  <c r="I5" i="4"/>
  <c r="J5" i="4"/>
  <c r="K5" i="4"/>
  <c r="H10" i="31"/>
  <c r="B13" i="30"/>
  <c r="C13" i="30" s="1"/>
  <c r="D13" i="30" s="1"/>
  <c r="E13" i="30" s="1"/>
  <c r="F13" i="30" s="1"/>
  <c r="G13" i="30" s="1"/>
  <c r="H13" i="30" s="1"/>
  <c r="I13" i="30" s="1"/>
  <c r="J13" i="30" s="1"/>
  <c r="K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C27" i="12" l="1"/>
  <c r="M26" i="16"/>
  <c r="I37" i="17"/>
  <c r="J52" i="17"/>
  <c r="K6" i="4"/>
  <c r="K7" i="4"/>
  <c r="L26" i="16"/>
  <c r="J7" i="4"/>
  <c r="J6" i="4"/>
  <c r="K37" i="17"/>
  <c r="I7" i="4"/>
  <c r="I6" i="4"/>
  <c r="L32" i="7"/>
  <c r="K54" i="18"/>
  <c r="K15" i="8"/>
  <c r="K13" i="38"/>
  <c r="K15" i="38" s="1"/>
  <c r="K16" i="38" s="1"/>
  <c r="J13" i="38"/>
  <c r="J15" i="38" s="1"/>
  <c r="J16" i="38" s="1"/>
  <c r="K22" i="29"/>
  <c r="K12" i="29"/>
  <c r="L54" i="18" l="1"/>
  <c r="L15" i="8"/>
  <c r="D5" i="37"/>
  <c r="D27" i="12"/>
  <c r="E27" i="12" l="1"/>
  <c r="E5" i="37"/>
  <c r="B12" i="5"/>
  <c r="F27" i="12" l="1"/>
  <c r="F5" i="37"/>
  <c r="B4" i="6"/>
  <c r="B17" i="28"/>
  <c r="C17" i="28" s="1"/>
  <c r="D17" i="28" s="1"/>
  <c r="E17" i="28" s="1"/>
  <c r="F17" i="28" s="1"/>
  <c r="G17" i="28" s="1"/>
  <c r="H17" i="28" s="1"/>
  <c r="B5" i="28"/>
  <c r="G27" i="12" l="1"/>
  <c r="G5" i="37"/>
  <c r="B4" i="7"/>
  <c r="B29" i="7" s="1"/>
  <c r="C46" i="18"/>
  <c r="C45" i="18"/>
  <c r="H27" i="12" l="1"/>
  <c r="H5" i="37"/>
  <c r="C12" i="5"/>
  <c r="I27" i="12" l="1"/>
  <c r="I5" i="37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J27" i="12" l="1"/>
  <c r="J5" i="37"/>
  <c r="I8" i="14"/>
  <c r="I53" i="17"/>
  <c r="I8" i="29"/>
  <c r="I40" i="17"/>
  <c r="I9" i="30"/>
  <c r="B6" i="31"/>
  <c r="B9" i="30"/>
  <c r="B8" i="29"/>
  <c r="J26" i="16"/>
  <c r="H7" i="31"/>
  <c r="H9" i="31" s="1"/>
  <c r="C32" i="15"/>
  <c r="E12" i="5"/>
  <c r="B7" i="17"/>
  <c r="B40" i="17"/>
  <c r="B53" i="17"/>
  <c r="K27" i="12" l="1"/>
  <c r="K5" i="37"/>
  <c r="J8" i="14"/>
  <c r="J53" i="17"/>
  <c r="J8" i="29"/>
  <c r="J40" i="17"/>
  <c r="J9" i="30"/>
  <c r="F12" i="5"/>
  <c r="L5" i="37" l="1"/>
  <c r="K40" i="17"/>
  <c r="K9" i="30"/>
  <c r="K8" i="14"/>
  <c r="K53" i="17"/>
  <c r="K8" i="29"/>
  <c r="G12" i="5"/>
  <c r="H6" i="22"/>
  <c r="G6" i="22"/>
  <c r="H5" i="22"/>
  <c r="G5" i="22"/>
  <c r="G9" i="22"/>
  <c r="G8" i="22"/>
  <c r="G7" i="22"/>
  <c r="H8" i="22"/>
  <c r="B7" i="12" l="1"/>
  <c r="H9" i="22"/>
  <c r="H7" i="22"/>
  <c r="I4" i="22"/>
  <c r="H12" i="5" l="1"/>
  <c r="E15" i="18"/>
  <c r="I5" i="22"/>
  <c r="I6" i="22"/>
  <c r="C7" i="12"/>
  <c r="I9" i="22"/>
  <c r="I8" i="22"/>
  <c r="J4" i="22"/>
  <c r="I7" i="22"/>
  <c r="I12" i="5" l="1"/>
  <c r="F15" i="18"/>
  <c r="J5" i="22"/>
  <c r="J6" i="22"/>
  <c r="D7" i="12"/>
  <c r="J9" i="22"/>
  <c r="J8" i="22"/>
  <c r="K4" i="22"/>
  <c r="J7" i="22"/>
  <c r="I4" i="6" l="1"/>
  <c r="K12" i="5"/>
  <c r="J12" i="5"/>
  <c r="G15" i="18"/>
  <c r="K5" i="22"/>
  <c r="K6" i="22"/>
  <c r="E7" i="12"/>
  <c r="K7" i="22"/>
  <c r="K9" i="22"/>
  <c r="K8" i="22"/>
  <c r="L4" i="22"/>
  <c r="J4" i="6" l="1"/>
  <c r="K4" i="6"/>
  <c r="J34" i="18"/>
  <c r="H15" i="18"/>
  <c r="L6" i="22"/>
  <c r="L5" i="22"/>
  <c r="F7" i="12"/>
  <c r="L8" i="22"/>
  <c r="M4" i="22"/>
  <c r="L7" i="22"/>
  <c r="L9" i="22"/>
  <c r="L34" i="18" l="1"/>
  <c r="K34" i="18"/>
  <c r="I15" i="18"/>
  <c r="M5" i="22"/>
  <c r="M6" i="22"/>
  <c r="G7" i="12"/>
  <c r="M9" i="22"/>
  <c r="M8" i="22"/>
  <c r="M7" i="22"/>
  <c r="H7" i="12" l="1"/>
  <c r="C3" i="21" l="1"/>
  <c r="C37" i="18"/>
  <c r="B12" i="6"/>
  <c r="C26" i="10"/>
  <c r="B10" i="23"/>
  <c r="D37" i="18" l="1"/>
  <c r="C12" i="6"/>
  <c r="D26" i="10"/>
  <c r="C10" i="23"/>
  <c r="D3" i="21"/>
  <c r="C52" i="18"/>
  <c r="C53" i="18"/>
  <c r="C51" i="18"/>
  <c r="B51" i="18"/>
  <c r="C43" i="18"/>
  <c r="B25" i="18"/>
  <c r="B27" i="18"/>
  <c r="B24" i="18"/>
  <c r="I19" i="13"/>
  <c r="B6" i="24" s="1"/>
  <c r="B18" i="12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D12" i="10"/>
  <c r="E12" i="10" s="1"/>
  <c r="F12" i="10" s="1"/>
  <c r="G12" i="10" s="1"/>
  <c r="H12" i="10" s="1"/>
  <c r="I12" i="10" s="1"/>
  <c r="J12" i="10" s="1"/>
  <c r="K12" i="10" s="1"/>
  <c r="L12" i="10" s="1"/>
  <c r="D11" i="10"/>
  <c r="E11" i="10" s="1"/>
  <c r="F11" i="10" s="1"/>
  <c r="G11" i="10" s="1"/>
  <c r="H11" i="10" s="1"/>
  <c r="I11" i="10" s="1"/>
  <c r="J11" i="10" s="1"/>
  <c r="K11" i="10" s="1"/>
  <c r="L11" i="10" s="1"/>
  <c r="D7" i="10"/>
  <c r="E7" i="10" s="1"/>
  <c r="F7" i="10" s="1"/>
  <c r="G7" i="10" s="1"/>
  <c r="H7" i="10" s="1"/>
  <c r="I7" i="10" s="1"/>
  <c r="J7" i="10" s="1"/>
  <c r="K7" i="10" s="1"/>
  <c r="L7" i="10" s="1"/>
  <c r="D6" i="10"/>
  <c r="Q5" i="10"/>
  <c r="C25" i="10" s="1"/>
  <c r="Q4" i="10"/>
  <c r="D25" i="10" s="1"/>
  <c r="E25" i="10" s="1"/>
  <c r="F25" i="10" s="1"/>
  <c r="G25" i="10" s="1"/>
  <c r="H25" i="10" s="1"/>
  <c r="I25" i="10" s="1"/>
  <c r="J25" i="10" s="1"/>
  <c r="K25" i="10" s="1"/>
  <c r="L25" i="10" s="1"/>
  <c r="Q3" i="10"/>
  <c r="C10" i="10" s="1"/>
  <c r="D10" i="10" l="1"/>
  <c r="E10" i="10" s="1"/>
  <c r="F10" i="10" s="1"/>
  <c r="G10" i="10" s="1"/>
  <c r="H10" i="10" s="1"/>
  <c r="I10" i="10" s="1"/>
  <c r="J10" i="10" s="1"/>
  <c r="K10" i="10" s="1"/>
  <c r="L10" i="10" s="1"/>
  <c r="B6" i="2"/>
  <c r="E37" i="18"/>
  <c r="E26" i="10"/>
  <c r="D12" i="6"/>
  <c r="D10" i="23"/>
  <c r="E3" i="21"/>
  <c r="E6" i="10"/>
  <c r="D22" i="10"/>
  <c r="N7" i="10"/>
  <c r="N13" i="10" l="1"/>
  <c r="O16" i="10"/>
  <c r="C15" i="16"/>
  <c r="C32" i="16" s="1"/>
  <c r="F37" i="18"/>
  <c r="E12" i="6"/>
  <c r="F26" i="10"/>
  <c r="E10" i="23"/>
  <c r="F3" i="21"/>
  <c r="C5" i="3"/>
  <c r="E22" i="10"/>
  <c r="F6" i="10"/>
  <c r="C23" i="10" l="1"/>
  <c r="G3" i="21"/>
  <c r="G37" i="18"/>
  <c r="G26" i="10"/>
  <c r="F12" i="6"/>
  <c r="F10" i="23"/>
  <c r="B28" i="15"/>
  <c r="B30" i="15" s="1"/>
  <c r="C10" i="3"/>
  <c r="G6" i="10"/>
  <c r="F22" i="10"/>
  <c r="H3" i="21" l="1"/>
  <c r="H37" i="18"/>
  <c r="H26" i="10"/>
  <c r="G12" i="6"/>
  <c r="G10" i="23"/>
  <c r="H6" i="10"/>
  <c r="G22" i="10"/>
  <c r="I37" i="18" l="1"/>
  <c r="H12" i="6"/>
  <c r="I26" i="10"/>
  <c r="H10" i="23"/>
  <c r="H22" i="10"/>
  <c r="I6" i="10"/>
  <c r="J6" i="10" s="1"/>
  <c r="K6" i="10" s="1"/>
  <c r="L6" i="10" s="1"/>
  <c r="I22" i="10" l="1"/>
  <c r="J22" i="10" s="1"/>
  <c r="K22" i="10" s="1"/>
  <c r="L22" i="10" s="1"/>
  <c r="E18" i="9" l="1"/>
  <c r="G17" i="9"/>
  <c r="G16" i="9"/>
  <c r="G13" i="9"/>
  <c r="G12" i="9"/>
  <c r="G11" i="9"/>
  <c r="G9" i="9"/>
  <c r="G8" i="9"/>
  <c r="G7" i="9"/>
  <c r="G6" i="9"/>
  <c r="G5" i="9"/>
  <c r="G4" i="9"/>
  <c r="G3" i="9"/>
  <c r="C11" i="8"/>
  <c r="B10" i="8"/>
  <c r="C7" i="8"/>
  <c r="C3" i="8"/>
  <c r="B11" i="12"/>
  <c r="B42" i="7"/>
  <c r="B31" i="7"/>
  <c r="B53" i="18" s="1"/>
  <c r="C17" i="7"/>
  <c r="C11" i="7"/>
  <c r="B38" i="7"/>
  <c r="C5" i="7"/>
  <c r="B34" i="7"/>
  <c r="C34" i="18"/>
  <c r="C24" i="10" l="1"/>
  <c r="C27" i="10" s="1"/>
  <c r="G18" i="9"/>
  <c r="C13" i="10"/>
  <c r="D51" i="18"/>
  <c r="D53" i="18"/>
  <c r="B6" i="8"/>
  <c r="B2" i="8"/>
  <c r="D52" i="18"/>
  <c r="D7" i="8"/>
  <c r="D11" i="8"/>
  <c r="D3" i="8"/>
  <c r="B30" i="7"/>
  <c r="B52" i="18" s="1"/>
  <c r="D13" i="10" l="1"/>
  <c r="C17" i="10"/>
  <c r="C18" i="10" s="1"/>
  <c r="D24" i="10"/>
  <c r="E51" i="18"/>
  <c r="E3" i="8"/>
  <c r="E53" i="18"/>
  <c r="E11" i="8"/>
  <c r="E52" i="18"/>
  <c r="E7" i="8"/>
  <c r="E24" i="10" l="1"/>
  <c r="E13" i="10"/>
  <c r="D17" i="10"/>
  <c r="D18" i="10" s="1"/>
  <c r="F51" i="18"/>
  <c r="F3" i="8"/>
  <c r="F11" i="8"/>
  <c r="F53" i="18"/>
  <c r="G52" i="18"/>
  <c r="G7" i="8"/>
  <c r="F52" i="18"/>
  <c r="F7" i="8"/>
  <c r="F24" i="10" l="1"/>
  <c r="E17" i="10"/>
  <c r="E18" i="10" s="1"/>
  <c r="F13" i="10"/>
  <c r="G51" i="18"/>
  <c r="G3" i="8"/>
  <c r="G11" i="8"/>
  <c r="G53" i="18"/>
  <c r="H52" i="18"/>
  <c r="H7" i="8"/>
  <c r="J7" i="8" l="1"/>
  <c r="J52" i="18"/>
  <c r="G24" i="10"/>
  <c r="F17" i="10"/>
  <c r="F18" i="10" s="1"/>
  <c r="G13" i="10"/>
  <c r="H51" i="18"/>
  <c r="H3" i="8"/>
  <c r="H11" i="8"/>
  <c r="H53" i="18"/>
  <c r="I52" i="18"/>
  <c r="I7" i="8"/>
  <c r="D8" i="1"/>
  <c r="C4" i="6"/>
  <c r="D34" i="18" s="1"/>
  <c r="J53" i="18" l="1"/>
  <c r="J11" i="8"/>
  <c r="K7" i="8"/>
  <c r="K52" i="18"/>
  <c r="J51" i="18"/>
  <c r="J3" i="8"/>
  <c r="H24" i="10"/>
  <c r="H13" i="10"/>
  <c r="G17" i="10"/>
  <c r="G18" i="10" s="1"/>
  <c r="D14" i="18"/>
  <c r="I3" i="8"/>
  <c r="I51" i="18"/>
  <c r="I11" i="8"/>
  <c r="I53" i="18"/>
  <c r="E13" i="18"/>
  <c r="D4" i="6"/>
  <c r="E34" i="18" s="1"/>
  <c r="K53" i="18" l="1"/>
  <c r="K11" i="8"/>
  <c r="L52" i="18"/>
  <c r="L7" i="8"/>
  <c r="K3" i="8"/>
  <c r="K51" i="18"/>
  <c r="I24" i="10"/>
  <c r="H17" i="10"/>
  <c r="H18" i="10" s="1"/>
  <c r="I13" i="10"/>
  <c r="J13" i="10" s="1"/>
  <c r="F13" i="18"/>
  <c r="E4" i="6"/>
  <c r="F34" i="18" s="1"/>
  <c r="L53" i="18" l="1"/>
  <c r="L11" i="8"/>
  <c r="L3" i="8"/>
  <c r="L51" i="18"/>
  <c r="K13" i="10"/>
  <c r="J17" i="10"/>
  <c r="J18" i="10" s="1"/>
  <c r="J24" i="10"/>
  <c r="I17" i="10"/>
  <c r="I18" i="10" s="1"/>
  <c r="E14" i="18"/>
  <c r="G13" i="18"/>
  <c r="F4" i="6"/>
  <c r="G34" i="18" s="1"/>
  <c r="K24" i="10" l="1"/>
  <c r="K17" i="10"/>
  <c r="K18" i="10" s="1"/>
  <c r="L13" i="10"/>
  <c r="F14" i="18"/>
  <c r="C11" i="23"/>
  <c r="H13" i="18"/>
  <c r="G4" i="6"/>
  <c r="H34" i="18" s="1"/>
  <c r="L17" i="10" l="1"/>
  <c r="L18" i="10" s="1"/>
  <c r="L24" i="10"/>
  <c r="G14" i="18"/>
  <c r="H4" i="6"/>
  <c r="I34" i="18" s="1"/>
  <c r="J13" i="18" l="1"/>
  <c r="I12" i="4"/>
  <c r="H14" i="18"/>
  <c r="I13" i="18"/>
  <c r="I21" i="4" l="1"/>
  <c r="J14" i="18"/>
  <c r="I17" i="4"/>
  <c r="I18" i="38" s="1"/>
  <c r="I22" i="4"/>
  <c r="I23" i="4"/>
  <c r="I34" i="4"/>
  <c r="I20" i="4"/>
  <c r="K13" i="18"/>
  <c r="J12" i="4"/>
  <c r="I14" i="18"/>
  <c r="C32" i="4"/>
  <c r="D32" i="4"/>
  <c r="E32" i="4"/>
  <c r="F32" i="4"/>
  <c r="G32" i="4"/>
  <c r="H32" i="4"/>
  <c r="B32" i="4"/>
  <c r="C5" i="4"/>
  <c r="D5" i="4"/>
  <c r="E5" i="4"/>
  <c r="F5" i="4"/>
  <c r="G5" i="4"/>
  <c r="H5" i="4"/>
  <c r="B5" i="4"/>
  <c r="D43" i="18"/>
  <c r="D7" i="4" l="1"/>
  <c r="D6" i="4"/>
  <c r="F7" i="4"/>
  <c r="F6" i="4"/>
  <c r="F12" i="4" s="1"/>
  <c r="H7" i="4"/>
  <c r="H6" i="4"/>
  <c r="G6" i="4"/>
  <c r="G7" i="4"/>
  <c r="C6" i="4"/>
  <c r="C7" i="4"/>
  <c r="B7" i="4"/>
  <c r="B6" i="4"/>
  <c r="B12" i="4" s="1"/>
  <c r="B14" i="4" s="1"/>
  <c r="E7" i="4"/>
  <c r="E6" i="4"/>
  <c r="J21" i="4"/>
  <c r="I29" i="4"/>
  <c r="J37" i="10"/>
  <c r="J24" i="18"/>
  <c r="I27" i="4"/>
  <c r="J6" i="7" s="1"/>
  <c r="J8" i="7" s="1"/>
  <c r="I35" i="4"/>
  <c r="J25" i="18" s="1"/>
  <c r="I30" i="4"/>
  <c r="I7" i="5"/>
  <c r="I28" i="4"/>
  <c r="J12" i="7" s="1"/>
  <c r="J14" i="7" s="1"/>
  <c r="J34" i="4"/>
  <c r="J20" i="4"/>
  <c r="J23" i="4"/>
  <c r="J22" i="4"/>
  <c r="E17" i="4"/>
  <c r="D17" i="4"/>
  <c r="L13" i="18"/>
  <c r="K12" i="4"/>
  <c r="K9" i="4"/>
  <c r="K14" i="18"/>
  <c r="J17" i="4"/>
  <c r="D11" i="23"/>
  <c r="F24" i="16"/>
  <c r="E43" i="18"/>
  <c r="F17" i="4"/>
  <c r="C12" i="4"/>
  <c r="C17" i="4"/>
  <c r="D12" i="4"/>
  <c r="G12" i="4"/>
  <c r="G17" i="4"/>
  <c r="H12" i="4"/>
  <c r="H17" i="4"/>
  <c r="B17" i="4"/>
  <c r="E12" i="4"/>
  <c r="H29" i="4" l="1"/>
  <c r="I37" i="10"/>
  <c r="D21" i="4"/>
  <c r="D18" i="38"/>
  <c r="F21" i="4"/>
  <c r="F18" i="38"/>
  <c r="J29" i="4"/>
  <c r="K37" i="10"/>
  <c r="G21" i="4"/>
  <c r="G18" i="38"/>
  <c r="J18" i="38"/>
  <c r="G29" i="4"/>
  <c r="H37" i="10"/>
  <c r="F29" i="4"/>
  <c r="G37" i="10"/>
  <c r="K21" i="4"/>
  <c r="E21" i="4"/>
  <c r="E18" i="38"/>
  <c r="E29" i="4"/>
  <c r="F37" i="10"/>
  <c r="H21" i="4"/>
  <c r="H18" i="38"/>
  <c r="D29" i="4"/>
  <c r="E37" i="10"/>
  <c r="D23" i="4"/>
  <c r="C29" i="4"/>
  <c r="D37" i="10"/>
  <c r="C21" i="4"/>
  <c r="C14" i="4"/>
  <c r="C6" i="12" s="1"/>
  <c r="C18" i="38"/>
  <c r="C23" i="4"/>
  <c r="B29" i="4"/>
  <c r="C18" i="7" s="1"/>
  <c r="C37" i="10"/>
  <c r="B18" i="38"/>
  <c r="G4" i="28"/>
  <c r="G6" i="28" s="1"/>
  <c r="G7" i="28" s="1"/>
  <c r="G8" i="28" s="1"/>
  <c r="H4" i="28"/>
  <c r="H6" i="28" s="1"/>
  <c r="H7" i="28" s="1"/>
  <c r="H8" i="28" s="1"/>
  <c r="J18" i="7"/>
  <c r="J20" i="7" s="1"/>
  <c r="J24" i="7"/>
  <c r="J26" i="7" s="1"/>
  <c r="I37" i="4"/>
  <c r="J27" i="18" s="1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24" i="18"/>
  <c r="I8" i="5"/>
  <c r="J44" i="7"/>
  <c r="K43" i="7" s="1"/>
  <c r="K17" i="7"/>
  <c r="J32" i="10"/>
  <c r="J38" i="10"/>
  <c r="L14" i="18"/>
  <c r="K17" i="4"/>
  <c r="K22" i="4"/>
  <c r="K20" i="4"/>
  <c r="K34" i="4"/>
  <c r="K23" i="4"/>
  <c r="J27" i="4"/>
  <c r="K6" i="7" s="1"/>
  <c r="K8" i="7" s="1"/>
  <c r="J28" i="4"/>
  <c r="K12" i="7" s="1"/>
  <c r="K14" i="7" s="1"/>
  <c r="J30" i="4"/>
  <c r="J35" i="4"/>
  <c r="K25" i="18" s="1"/>
  <c r="J7" i="5"/>
  <c r="J40" i="7"/>
  <c r="K39" i="7" s="1"/>
  <c r="K11" i="7"/>
  <c r="K5" i="7"/>
  <c r="J36" i="7"/>
  <c r="B4" i="28"/>
  <c r="B6" i="28" s="1"/>
  <c r="B7" i="28" s="1"/>
  <c r="B8" i="28" s="1"/>
  <c r="E35" i="4"/>
  <c r="F25" i="18" s="1"/>
  <c r="E27" i="4"/>
  <c r="F6" i="7" s="1"/>
  <c r="F8" i="7" s="1"/>
  <c r="E7" i="5"/>
  <c r="E8" i="5" s="1"/>
  <c r="E30" i="4"/>
  <c r="E28" i="4"/>
  <c r="F12" i="7" s="1"/>
  <c r="F14" i="7" s="1"/>
  <c r="H35" i="4"/>
  <c r="I25" i="18" s="1"/>
  <c r="H27" i="4"/>
  <c r="I6" i="7" s="1"/>
  <c r="I8" i="7" s="1"/>
  <c r="H7" i="5"/>
  <c r="H30" i="4"/>
  <c r="H28" i="4"/>
  <c r="I12" i="7" s="1"/>
  <c r="I14" i="7" s="1"/>
  <c r="J11" i="7" s="1"/>
  <c r="J13" i="7" s="1"/>
  <c r="J6" i="8" s="1"/>
  <c r="J8" i="8" s="1"/>
  <c r="D28" i="4"/>
  <c r="E12" i="7" s="1"/>
  <c r="E14" i="7" s="1"/>
  <c r="D30" i="4"/>
  <c r="D35" i="4"/>
  <c r="E25" i="18" s="1"/>
  <c r="D7" i="5"/>
  <c r="D8" i="5" s="1"/>
  <c r="D27" i="4"/>
  <c r="E6" i="7" s="1"/>
  <c r="E8" i="7" s="1"/>
  <c r="F7" i="5"/>
  <c r="F8" i="5" s="1"/>
  <c r="F27" i="4"/>
  <c r="G6" i="7" s="1"/>
  <c r="G8" i="7" s="1"/>
  <c r="F30" i="4"/>
  <c r="F35" i="4"/>
  <c r="G25" i="18" s="1"/>
  <c r="F28" i="4"/>
  <c r="G12" i="7" s="1"/>
  <c r="G14" i="7" s="1"/>
  <c r="E23" i="4"/>
  <c r="E4" i="28"/>
  <c r="E6" i="28" s="1"/>
  <c r="E7" i="28" s="1"/>
  <c r="E8" i="28" s="1"/>
  <c r="E24" i="4"/>
  <c r="B27" i="4"/>
  <c r="C6" i="7" s="1"/>
  <c r="C8" i="7" s="1"/>
  <c r="B35" i="4"/>
  <c r="C25" i="18" s="1"/>
  <c r="B7" i="5"/>
  <c r="B28" i="4"/>
  <c r="C12" i="7" s="1"/>
  <c r="C14" i="7" s="1"/>
  <c r="B30" i="4"/>
  <c r="C24" i="7" s="1"/>
  <c r="G27" i="4"/>
  <c r="H6" i="7" s="1"/>
  <c r="H8" i="7" s="1"/>
  <c r="G35" i="4"/>
  <c r="H25" i="18" s="1"/>
  <c r="G7" i="5"/>
  <c r="G8" i="5" s="1"/>
  <c r="G28" i="4"/>
  <c r="H12" i="7" s="1"/>
  <c r="H14" i="7" s="1"/>
  <c r="G30" i="4"/>
  <c r="C30" i="4"/>
  <c r="C27" i="4"/>
  <c r="D6" i="7" s="1"/>
  <c r="D8" i="7" s="1"/>
  <c r="C35" i="4"/>
  <c r="D25" i="18" s="1"/>
  <c r="C7" i="5"/>
  <c r="C8" i="5" s="1"/>
  <c r="C28" i="4"/>
  <c r="D12" i="7" s="1"/>
  <c r="D14" i="7" s="1"/>
  <c r="F11" i="23"/>
  <c r="H24" i="16"/>
  <c r="E11" i="23"/>
  <c r="G24" i="16"/>
  <c r="E22" i="4"/>
  <c r="H22" i="4"/>
  <c r="D34" i="4"/>
  <c r="D22" i="4"/>
  <c r="F22" i="4"/>
  <c r="B22" i="4"/>
  <c r="G22" i="4"/>
  <c r="C24" i="4"/>
  <c r="C22" i="4"/>
  <c r="F43" i="18"/>
  <c r="C34" i="4"/>
  <c r="E20" i="4"/>
  <c r="E34" i="4"/>
  <c r="D20" i="4"/>
  <c r="D14" i="4"/>
  <c r="D6" i="12" s="1"/>
  <c r="C20" i="4"/>
  <c r="B34" i="4"/>
  <c r="B23" i="4"/>
  <c r="B20" i="4"/>
  <c r="B6" i="12"/>
  <c r="D24" i="4"/>
  <c r="F34" i="4"/>
  <c r="F23" i="4"/>
  <c r="F24" i="4"/>
  <c r="F20" i="4"/>
  <c r="J40" i="10" l="1"/>
  <c r="J31" i="10"/>
  <c r="K29" i="4"/>
  <c r="L37" i="10"/>
  <c r="K18" i="38"/>
  <c r="B16" i="36"/>
  <c r="B4" i="36"/>
  <c r="B28" i="36"/>
  <c r="B40" i="36"/>
  <c r="D4" i="36"/>
  <c r="D28" i="36"/>
  <c r="D16" i="36"/>
  <c r="D40" i="36"/>
  <c r="C4" i="36"/>
  <c r="C16" i="36"/>
  <c r="C40" i="36"/>
  <c r="C28" i="36"/>
  <c r="D18" i="7"/>
  <c r="D20" i="7" s="1"/>
  <c r="D24" i="7"/>
  <c r="D26" i="7" s="1"/>
  <c r="F18" i="7"/>
  <c r="F20" i="7" s="1"/>
  <c r="F24" i="7"/>
  <c r="F26" i="7" s="1"/>
  <c r="H18" i="7"/>
  <c r="H20" i="7" s="1"/>
  <c r="H24" i="7"/>
  <c r="H26" i="7" s="1"/>
  <c r="E18" i="7"/>
  <c r="E20" i="7" s="1"/>
  <c r="E24" i="7"/>
  <c r="E26" i="7" s="1"/>
  <c r="I18" i="7"/>
  <c r="I20" i="7" s="1"/>
  <c r="I24" i="7"/>
  <c r="I26" i="7" s="1"/>
  <c r="K18" i="7"/>
  <c r="K20" i="7" s="1"/>
  <c r="K24" i="7"/>
  <c r="K26" i="7" s="1"/>
  <c r="K23" i="7"/>
  <c r="J48" i="7"/>
  <c r="K47" i="7" s="1"/>
  <c r="G18" i="7"/>
  <c r="G20" i="7" s="1"/>
  <c r="G24" i="7"/>
  <c r="G26" i="7" s="1"/>
  <c r="C26" i="7"/>
  <c r="C25" i="7" s="1"/>
  <c r="C14" i="8" s="1"/>
  <c r="C16" i="8" s="1"/>
  <c r="K13" i="7"/>
  <c r="K6" i="8" s="1"/>
  <c r="K8" i="8" s="1"/>
  <c r="K35" i="7"/>
  <c r="L17" i="7"/>
  <c r="K44" i="7"/>
  <c r="L43" i="7" s="1"/>
  <c r="L24" i="18"/>
  <c r="K35" i="4"/>
  <c r="L25" i="18" s="1"/>
  <c r="K7" i="5"/>
  <c r="K27" i="4"/>
  <c r="L6" i="7" s="1"/>
  <c r="K28" i="4"/>
  <c r="L12" i="7" s="1"/>
  <c r="L14" i="7" s="1"/>
  <c r="L40" i="7" s="1"/>
  <c r="K30" i="4"/>
  <c r="K19" i="7"/>
  <c r="K10" i="8" s="1"/>
  <c r="K12" i="8" s="1"/>
  <c r="J37" i="4"/>
  <c r="K7" i="7"/>
  <c r="K2" i="8" s="1"/>
  <c r="J8" i="5"/>
  <c r="L11" i="7"/>
  <c r="K40" i="7"/>
  <c r="L39" i="7" s="1"/>
  <c r="L5" i="7"/>
  <c r="K36" i="7"/>
  <c r="J5" i="5"/>
  <c r="I16" i="5"/>
  <c r="H8" i="5"/>
  <c r="I5" i="5" s="1"/>
  <c r="I6" i="5" s="1"/>
  <c r="I3" i="6" s="1"/>
  <c r="I6" i="6" s="1"/>
  <c r="I16" i="12" s="1"/>
  <c r="K23" i="16" s="1"/>
  <c r="B8" i="5"/>
  <c r="B16" i="5" s="1"/>
  <c r="I44" i="7"/>
  <c r="J43" i="7" s="1"/>
  <c r="J17" i="7"/>
  <c r="J19" i="7" s="1"/>
  <c r="J10" i="8" s="1"/>
  <c r="J12" i="8" s="1"/>
  <c r="I36" i="7"/>
  <c r="J5" i="7"/>
  <c r="J7" i="7" s="1"/>
  <c r="J2" i="8" s="1"/>
  <c r="I40" i="7"/>
  <c r="F17" i="7"/>
  <c r="F19" i="7" s="1"/>
  <c r="F10" i="8" s="1"/>
  <c r="F12" i="8" s="1"/>
  <c r="E44" i="7"/>
  <c r="F43" i="7" s="1"/>
  <c r="G5" i="7"/>
  <c r="G7" i="7" s="1"/>
  <c r="G2" i="8" s="1"/>
  <c r="F36" i="7"/>
  <c r="E5" i="7"/>
  <c r="E7" i="7" s="1"/>
  <c r="E2" i="8" s="1"/>
  <c r="D36" i="7"/>
  <c r="H17" i="7"/>
  <c r="H19" i="7" s="1"/>
  <c r="H10" i="8" s="1"/>
  <c r="H12" i="8" s="1"/>
  <c r="G44" i="7"/>
  <c r="H43" i="7" s="1"/>
  <c r="F5" i="7"/>
  <c r="F7" i="7" s="1"/>
  <c r="F2" i="8" s="1"/>
  <c r="E36" i="7"/>
  <c r="F11" i="7"/>
  <c r="F13" i="7" s="1"/>
  <c r="F6" i="8" s="1"/>
  <c r="F8" i="8" s="1"/>
  <c r="E40" i="7"/>
  <c r="F39" i="7" s="1"/>
  <c r="F40" i="7"/>
  <c r="G39" i="7" s="1"/>
  <c r="G11" i="7"/>
  <c r="G13" i="7" s="1"/>
  <c r="G6" i="8" s="1"/>
  <c r="G8" i="8" s="1"/>
  <c r="D44" i="7"/>
  <c r="E43" i="7" s="1"/>
  <c r="E17" i="7"/>
  <c r="E19" i="7" s="1"/>
  <c r="E10" i="8" s="1"/>
  <c r="E12" i="8" s="1"/>
  <c r="H5" i="7"/>
  <c r="H7" i="7" s="1"/>
  <c r="H2" i="8" s="1"/>
  <c r="G36" i="7"/>
  <c r="G17" i="7"/>
  <c r="G19" i="7" s="1"/>
  <c r="G10" i="8" s="1"/>
  <c r="G12" i="8" s="1"/>
  <c r="F44" i="7"/>
  <c r="G43" i="7" s="1"/>
  <c r="H11" i="7"/>
  <c r="H13" i="7" s="1"/>
  <c r="H6" i="8" s="1"/>
  <c r="H8" i="8" s="1"/>
  <c r="G40" i="7"/>
  <c r="H39" i="7" s="1"/>
  <c r="I17" i="7"/>
  <c r="I19" i="7" s="1"/>
  <c r="I10" i="8" s="1"/>
  <c r="I12" i="8" s="1"/>
  <c r="H44" i="7"/>
  <c r="I43" i="7" s="1"/>
  <c r="E24" i="18"/>
  <c r="D37" i="4"/>
  <c r="G24" i="18"/>
  <c r="F37" i="4"/>
  <c r="D24" i="18"/>
  <c r="C37" i="4"/>
  <c r="I5" i="7"/>
  <c r="I7" i="7" s="1"/>
  <c r="I2" i="8" s="1"/>
  <c r="H36" i="7"/>
  <c r="I11" i="7"/>
  <c r="I13" i="7" s="1"/>
  <c r="I6" i="8" s="1"/>
  <c r="I8" i="8" s="1"/>
  <c r="H40" i="7"/>
  <c r="I39" i="7" s="1"/>
  <c r="B37" i="4"/>
  <c r="C24" i="18"/>
  <c r="F24" i="18"/>
  <c r="E37" i="4"/>
  <c r="G43" i="18"/>
  <c r="E14" i="4"/>
  <c r="E6" i="12" s="1"/>
  <c r="H24" i="4"/>
  <c r="H20" i="4"/>
  <c r="H34" i="4"/>
  <c r="H23" i="4"/>
  <c r="G24" i="4"/>
  <c r="G20" i="4"/>
  <c r="G34" i="4"/>
  <c r="G23" i="4"/>
  <c r="B6" i="5" l="1"/>
  <c r="J6" i="5"/>
  <c r="J3" i="6" s="1"/>
  <c r="J6" i="6" s="1"/>
  <c r="J16" i="12" s="1"/>
  <c r="B3" i="6"/>
  <c r="B6" i="6" s="1"/>
  <c r="E4" i="36"/>
  <c r="E28" i="36"/>
  <c r="E16" i="36"/>
  <c r="E40" i="36"/>
  <c r="L18" i="7"/>
  <c r="L20" i="7" s="1"/>
  <c r="L44" i="7" s="1"/>
  <c r="L24" i="7"/>
  <c r="L26" i="7" s="1"/>
  <c r="L48" i="7" s="1"/>
  <c r="H23" i="7"/>
  <c r="H25" i="7" s="1"/>
  <c r="H14" i="8" s="1"/>
  <c r="H16" i="8" s="1"/>
  <c r="G48" i="7"/>
  <c r="H47" i="7" s="1"/>
  <c r="L23" i="7"/>
  <c r="K48" i="7"/>
  <c r="L47" i="7" s="1"/>
  <c r="F23" i="7"/>
  <c r="F25" i="7" s="1"/>
  <c r="F14" i="8" s="1"/>
  <c r="F16" i="8" s="1"/>
  <c r="E48" i="7"/>
  <c r="F47" i="7" s="1"/>
  <c r="G23" i="7"/>
  <c r="G25" i="7" s="1"/>
  <c r="G14" i="8" s="1"/>
  <c r="G16" i="8" s="1"/>
  <c r="F48" i="7"/>
  <c r="G47" i="7" s="1"/>
  <c r="J23" i="7"/>
  <c r="J25" i="7" s="1"/>
  <c r="J14" i="8" s="1"/>
  <c r="J16" i="8" s="1"/>
  <c r="I48" i="7"/>
  <c r="J47" i="7" s="1"/>
  <c r="I23" i="7"/>
  <c r="I25" i="7" s="1"/>
  <c r="I14" i="8" s="1"/>
  <c r="I16" i="8" s="1"/>
  <c r="H48" i="7"/>
  <c r="I47" i="7" s="1"/>
  <c r="E23" i="7"/>
  <c r="E25" i="7" s="1"/>
  <c r="E14" i="8" s="1"/>
  <c r="E16" i="8" s="1"/>
  <c r="D48" i="7"/>
  <c r="E47" i="7" s="1"/>
  <c r="J52" i="7"/>
  <c r="I12" i="12" s="1"/>
  <c r="K25" i="7"/>
  <c r="K14" i="8" s="1"/>
  <c r="K16" i="8" s="1"/>
  <c r="D23" i="7"/>
  <c r="D25" i="7" s="1"/>
  <c r="D14" i="8" s="1"/>
  <c r="D16" i="8" s="1"/>
  <c r="C48" i="7"/>
  <c r="D47" i="7" s="1"/>
  <c r="J35" i="7"/>
  <c r="K51" i="7"/>
  <c r="J11" i="12" s="1"/>
  <c r="H16" i="5"/>
  <c r="I15" i="5" s="1"/>
  <c r="I18" i="12" s="1"/>
  <c r="L13" i="7"/>
  <c r="L6" i="8" s="1"/>
  <c r="L8" i="8" s="1"/>
  <c r="L8" i="7"/>
  <c r="L7" i="7" s="1"/>
  <c r="L2" i="8" s="1"/>
  <c r="L4" i="8" s="1"/>
  <c r="K37" i="4"/>
  <c r="L32" i="10" s="1"/>
  <c r="K40" i="10"/>
  <c r="K32" i="10"/>
  <c r="K31" i="10"/>
  <c r="K38" i="10"/>
  <c r="K27" i="18"/>
  <c r="L35" i="7"/>
  <c r="J41" i="15"/>
  <c r="I19" i="12"/>
  <c r="J15" i="5"/>
  <c r="J18" i="12" s="1"/>
  <c r="K5" i="5"/>
  <c r="J16" i="5"/>
  <c r="K8" i="5"/>
  <c r="K16" i="5" s="1"/>
  <c r="K39" i="10"/>
  <c r="K4" i="8"/>
  <c r="C5" i="5"/>
  <c r="C6" i="5" s="1"/>
  <c r="C3" i="6" s="1"/>
  <c r="C8" i="6" s="1"/>
  <c r="B8" i="6"/>
  <c r="J39" i="10"/>
  <c r="J4" i="8"/>
  <c r="J39" i="7"/>
  <c r="C16" i="5"/>
  <c r="D5" i="5"/>
  <c r="D6" i="5" s="1"/>
  <c r="D3" i="6" s="1"/>
  <c r="D6" i="6" s="1"/>
  <c r="G35" i="7"/>
  <c r="H35" i="7"/>
  <c r="F35" i="7"/>
  <c r="G39" i="10"/>
  <c r="G4" i="8"/>
  <c r="G5" i="5"/>
  <c r="G6" i="5" s="1"/>
  <c r="G3" i="6" s="1"/>
  <c r="G8" i="6" s="1"/>
  <c r="F16" i="5"/>
  <c r="D16" i="5"/>
  <c r="E5" i="5"/>
  <c r="E6" i="5" s="1"/>
  <c r="E3" i="6" s="1"/>
  <c r="E8" i="6" s="1"/>
  <c r="F5" i="5"/>
  <c r="F6" i="5" s="1"/>
  <c r="F3" i="6" s="1"/>
  <c r="F8" i="6" s="1"/>
  <c r="E16" i="5"/>
  <c r="F4" i="8"/>
  <c r="F39" i="10"/>
  <c r="E35" i="7"/>
  <c r="G6" i="6"/>
  <c r="E4" i="8"/>
  <c r="H5" i="5"/>
  <c r="H6" i="5" s="1"/>
  <c r="H3" i="6" s="1"/>
  <c r="G16" i="5"/>
  <c r="H11" i="23"/>
  <c r="J24" i="16"/>
  <c r="G11" i="23"/>
  <c r="I24" i="16"/>
  <c r="C40" i="10"/>
  <c r="C27" i="18"/>
  <c r="C38" i="10"/>
  <c r="C32" i="10"/>
  <c r="C31" i="10"/>
  <c r="H24" i="18"/>
  <c r="G37" i="4"/>
  <c r="I24" i="18"/>
  <c r="H37" i="4"/>
  <c r="I35" i="7"/>
  <c r="G38" i="10"/>
  <c r="G32" i="10"/>
  <c r="G40" i="10"/>
  <c r="G27" i="18"/>
  <c r="G31" i="10"/>
  <c r="C15" i="5"/>
  <c r="C18" i="12" s="1"/>
  <c r="B19" i="12"/>
  <c r="C41" i="15"/>
  <c r="F40" i="10"/>
  <c r="F27" i="18"/>
  <c r="F38" i="10"/>
  <c r="F32" i="10"/>
  <c r="F31" i="10"/>
  <c r="H4" i="8"/>
  <c r="H39" i="10"/>
  <c r="D38" i="10"/>
  <c r="D32" i="10"/>
  <c r="D27" i="18"/>
  <c r="D40" i="10"/>
  <c r="D31" i="10"/>
  <c r="E27" i="18"/>
  <c r="E40" i="10"/>
  <c r="E32" i="10"/>
  <c r="E38" i="10"/>
  <c r="E31" i="10"/>
  <c r="I4" i="8"/>
  <c r="I39" i="10"/>
  <c r="H43" i="18"/>
  <c r="F14" i="4"/>
  <c r="F6" i="12" s="1"/>
  <c r="C13" i="7"/>
  <c r="C6" i="8" s="1"/>
  <c r="C8" i="8" s="1"/>
  <c r="C7" i="7"/>
  <c r="C2" i="8" s="1"/>
  <c r="C20" i="7"/>
  <c r="C19" i="7" s="1"/>
  <c r="C10" i="8" s="1"/>
  <c r="C12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F6" i="6" l="1"/>
  <c r="H19" i="12"/>
  <c r="I21" i="12"/>
  <c r="I8" i="36" s="1"/>
  <c r="I41" i="15"/>
  <c r="L19" i="7"/>
  <c r="L10" i="8" s="1"/>
  <c r="L12" i="8" s="1"/>
  <c r="I52" i="7"/>
  <c r="H9" i="23" s="1"/>
  <c r="E52" i="7"/>
  <c r="D12" i="12" s="1"/>
  <c r="E6" i="6"/>
  <c r="E16" i="12" s="1"/>
  <c r="K6" i="5"/>
  <c r="D8" i="6"/>
  <c r="D10" i="6" s="1"/>
  <c r="D14" i="6" s="1"/>
  <c r="I44" i="36"/>
  <c r="L25" i="7"/>
  <c r="L14" i="8" s="1"/>
  <c r="L16" i="8" s="1"/>
  <c r="L18" i="8" s="1"/>
  <c r="K5" i="12" s="1"/>
  <c r="C6" i="6"/>
  <c r="C10" i="6" s="1"/>
  <c r="C14" i="6" s="1"/>
  <c r="F4" i="36"/>
  <c r="F40" i="36"/>
  <c r="F28" i="36"/>
  <c r="F16" i="36"/>
  <c r="J51" i="7"/>
  <c r="J40" i="15"/>
  <c r="J5" i="11" s="1"/>
  <c r="F52" i="7"/>
  <c r="F40" i="15" s="1"/>
  <c r="K52" i="7"/>
  <c r="J12" i="12" s="1"/>
  <c r="H52" i="7"/>
  <c r="G9" i="23" s="1"/>
  <c r="G52" i="7"/>
  <c r="I11" i="12"/>
  <c r="I5" i="36" s="1"/>
  <c r="J18" i="8"/>
  <c r="I5" i="12" s="1"/>
  <c r="G51" i="7"/>
  <c r="F11" i="12" s="1"/>
  <c r="G18" i="8"/>
  <c r="F5" i="12" s="1"/>
  <c r="H51" i="7"/>
  <c r="G11" i="12" s="1"/>
  <c r="K18" i="8"/>
  <c r="J5" i="12" s="1"/>
  <c r="L51" i="7"/>
  <c r="K11" i="12" s="1"/>
  <c r="I51" i="7"/>
  <c r="H11" i="12" s="1"/>
  <c r="F51" i="7"/>
  <c r="E11" i="12" s="1"/>
  <c r="I18" i="8"/>
  <c r="H5" i="12" s="1"/>
  <c r="H18" i="8"/>
  <c r="G5" i="12" s="1"/>
  <c r="F18" i="8"/>
  <c r="E5" i="12" s="1"/>
  <c r="B16" i="12"/>
  <c r="B21" i="12" s="1"/>
  <c r="I40" i="15"/>
  <c r="L40" i="10"/>
  <c r="L27" i="18"/>
  <c r="L38" i="10"/>
  <c r="L36" i="7"/>
  <c r="L31" i="10"/>
  <c r="H12" i="12"/>
  <c r="K19" i="12"/>
  <c r="L41" i="15"/>
  <c r="K41" i="15"/>
  <c r="J19" i="12"/>
  <c r="J21" i="12" s="1"/>
  <c r="K15" i="5"/>
  <c r="K18" i="12" s="1"/>
  <c r="J43" i="15"/>
  <c r="K3" i="6"/>
  <c r="K6" i="6" s="1"/>
  <c r="L39" i="10"/>
  <c r="L23" i="16"/>
  <c r="B10" i="6"/>
  <c r="B14" i="6" s="1"/>
  <c r="B6" i="23"/>
  <c r="H41" i="15"/>
  <c r="G19" i="12"/>
  <c r="H15" i="5"/>
  <c r="H18" i="12" s="1"/>
  <c r="D6" i="23"/>
  <c r="D16" i="12"/>
  <c r="F9" i="23"/>
  <c r="F12" i="12"/>
  <c r="G40" i="15"/>
  <c r="E9" i="23"/>
  <c r="E41" i="15"/>
  <c r="D19" i="12"/>
  <c r="E15" i="5"/>
  <c r="E18" i="12" s="1"/>
  <c r="D9" i="23"/>
  <c r="E40" i="15"/>
  <c r="E5" i="11" s="1"/>
  <c r="F16" i="12"/>
  <c r="F6" i="23"/>
  <c r="G6" i="23"/>
  <c r="G16" i="12"/>
  <c r="F15" i="5"/>
  <c r="F18" i="12" s="1"/>
  <c r="F41" i="15"/>
  <c r="E19" i="12"/>
  <c r="G15" i="5"/>
  <c r="G18" i="12" s="1"/>
  <c r="F19" i="12"/>
  <c r="G41" i="15"/>
  <c r="H8" i="6"/>
  <c r="H6" i="6"/>
  <c r="E11" i="7"/>
  <c r="E13" i="7" s="1"/>
  <c r="E6" i="8" s="1"/>
  <c r="D40" i="7"/>
  <c r="D52" i="7" s="1"/>
  <c r="F10" i="6"/>
  <c r="F14" i="6" s="1"/>
  <c r="G10" i="6"/>
  <c r="G14" i="6" s="1"/>
  <c r="D15" i="5"/>
  <c r="D18" i="12" s="1"/>
  <c r="C19" i="12"/>
  <c r="D41" i="15"/>
  <c r="E24" i="16"/>
  <c r="B11" i="23"/>
  <c r="D24" i="16"/>
  <c r="I27" i="18"/>
  <c r="I38" i="10"/>
  <c r="I40" i="10"/>
  <c r="I32" i="10"/>
  <c r="I31" i="10"/>
  <c r="H38" i="10"/>
  <c r="H32" i="10"/>
  <c r="H27" i="18"/>
  <c r="H40" i="10"/>
  <c r="H31" i="10"/>
  <c r="C4" i="8"/>
  <c r="C39" i="10"/>
  <c r="G14" i="4"/>
  <c r="G6" i="12" s="1"/>
  <c r="D17" i="7"/>
  <c r="D19" i="7" s="1"/>
  <c r="D10" i="8" s="1"/>
  <c r="D12" i="8" s="1"/>
  <c r="C44" i="7"/>
  <c r="D43" i="7" s="1"/>
  <c r="D11" i="7"/>
  <c r="D13" i="7" s="1"/>
  <c r="D6" i="8" s="1"/>
  <c r="D8" i="8" s="1"/>
  <c r="C40" i="7"/>
  <c r="D39" i="7" s="1"/>
  <c r="C36" i="7"/>
  <c r="D5" i="7"/>
  <c r="D7" i="7" s="1"/>
  <c r="D2" i="8" s="1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I32" i="36" l="1"/>
  <c r="I5" i="11"/>
  <c r="E10" i="6"/>
  <c r="E14" i="6" s="1"/>
  <c r="E6" i="23"/>
  <c r="E12" i="12"/>
  <c r="E29" i="36" s="1"/>
  <c r="K40" i="15"/>
  <c r="K5" i="11" s="1"/>
  <c r="I20" i="36"/>
  <c r="C6" i="23"/>
  <c r="K3" i="36"/>
  <c r="K39" i="36"/>
  <c r="K27" i="36"/>
  <c r="K15" i="36"/>
  <c r="J5" i="36"/>
  <c r="J41" i="36"/>
  <c r="J17" i="36"/>
  <c r="J29" i="36"/>
  <c r="J20" i="36"/>
  <c r="J44" i="36"/>
  <c r="J32" i="36"/>
  <c r="J8" i="36"/>
  <c r="H17" i="36"/>
  <c r="H41" i="36"/>
  <c r="H29" i="36"/>
  <c r="I17" i="36"/>
  <c r="H15" i="36"/>
  <c r="H3" i="36"/>
  <c r="H39" i="36"/>
  <c r="H27" i="36"/>
  <c r="J3" i="36"/>
  <c r="J39" i="36"/>
  <c r="J27" i="36"/>
  <c r="J15" i="36"/>
  <c r="I27" i="36"/>
  <c r="I15" i="36"/>
  <c r="I3" i="36"/>
  <c r="I39" i="36"/>
  <c r="I41" i="36"/>
  <c r="E17" i="36"/>
  <c r="E41" i="36"/>
  <c r="F41" i="36"/>
  <c r="F17" i="36"/>
  <c r="F29" i="36"/>
  <c r="G39" i="36"/>
  <c r="G27" i="36"/>
  <c r="G15" i="36"/>
  <c r="G3" i="36"/>
  <c r="I29" i="36"/>
  <c r="E27" i="36"/>
  <c r="E15" i="36"/>
  <c r="E39" i="36"/>
  <c r="E3" i="36"/>
  <c r="F39" i="36"/>
  <c r="F42" i="36" s="1"/>
  <c r="F27" i="36"/>
  <c r="F30" i="36" s="1"/>
  <c r="F15" i="36"/>
  <c r="F3" i="36"/>
  <c r="C16" i="12"/>
  <c r="C21" i="12" s="1"/>
  <c r="B44" i="36"/>
  <c r="B20" i="36"/>
  <c r="B32" i="36"/>
  <c r="B8" i="36"/>
  <c r="G16" i="36"/>
  <c r="G40" i="36"/>
  <c r="G28" i="36"/>
  <c r="G12" i="12"/>
  <c r="H40" i="15"/>
  <c r="H5" i="11" s="1"/>
  <c r="C52" i="7"/>
  <c r="E9" i="12"/>
  <c r="F9" i="12"/>
  <c r="F5" i="36"/>
  <c r="L52" i="7"/>
  <c r="K12" i="12" s="1"/>
  <c r="H5" i="36"/>
  <c r="G5" i="36"/>
  <c r="C18" i="8"/>
  <c r="B5" i="12" s="1"/>
  <c r="I43" i="15"/>
  <c r="D23" i="16"/>
  <c r="E5" i="36"/>
  <c r="G9" i="12"/>
  <c r="G4" i="36"/>
  <c r="I43" i="18"/>
  <c r="K43" i="15"/>
  <c r="K16" i="12"/>
  <c r="G5" i="11"/>
  <c r="F5" i="11"/>
  <c r="H10" i="6"/>
  <c r="H14" i="6" s="1"/>
  <c r="G21" i="12"/>
  <c r="I23" i="16"/>
  <c r="F21" i="12"/>
  <c r="H23" i="16"/>
  <c r="F43" i="15"/>
  <c r="E21" i="12"/>
  <c r="G23" i="16"/>
  <c r="F23" i="16"/>
  <c r="D21" i="12"/>
  <c r="E39" i="7"/>
  <c r="E43" i="15"/>
  <c r="G43" i="15"/>
  <c r="E8" i="8"/>
  <c r="E39" i="10"/>
  <c r="H6" i="23"/>
  <c r="H16" i="12"/>
  <c r="H43" i="15"/>
  <c r="D4" i="8"/>
  <c r="D39" i="10"/>
  <c r="H14" i="4"/>
  <c r="H6" i="12" s="1"/>
  <c r="B9" i="23"/>
  <c r="D35" i="7"/>
  <c r="P16" i="3"/>
  <c r="P17" i="3" s="1"/>
  <c r="Q15" i="3" s="1"/>
  <c r="D6" i="3"/>
  <c r="C7" i="3"/>
  <c r="P6" i="3"/>
  <c r="P7" i="3" s="1"/>
  <c r="E23" i="16" l="1"/>
  <c r="F18" i="36"/>
  <c r="E42" i="36"/>
  <c r="F20" i="36"/>
  <c r="F44" i="36"/>
  <c r="F32" i="36"/>
  <c r="F8" i="36"/>
  <c r="K5" i="36"/>
  <c r="K41" i="36"/>
  <c r="K29" i="36"/>
  <c r="K17" i="36"/>
  <c r="E30" i="36"/>
  <c r="E44" i="36"/>
  <c r="E32" i="36"/>
  <c r="E8" i="36"/>
  <c r="E20" i="36"/>
  <c r="G44" i="36"/>
  <c r="G32" i="36"/>
  <c r="G20" i="36"/>
  <c r="G8" i="36"/>
  <c r="G41" i="36"/>
  <c r="G42" i="36" s="1"/>
  <c r="G29" i="36"/>
  <c r="G30" i="36" s="1"/>
  <c r="G17" i="36"/>
  <c r="G18" i="36" s="1"/>
  <c r="E18" i="36"/>
  <c r="D8" i="36"/>
  <c r="D44" i="36"/>
  <c r="D20" i="36"/>
  <c r="D32" i="36"/>
  <c r="B39" i="36"/>
  <c r="B27" i="36"/>
  <c r="B15" i="36"/>
  <c r="B3" i="36"/>
  <c r="C44" i="36"/>
  <c r="C20" i="36"/>
  <c r="C8" i="36"/>
  <c r="C32" i="36"/>
  <c r="G2" i="35"/>
  <c r="H36" i="15"/>
  <c r="H4" i="11" s="1"/>
  <c r="E2" i="35"/>
  <c r="F36" i="15"/>
  <c r="F4" i="11" s="1"/>
  <c r="H16" i="36"/>
  <c r="H18" i="36" s="1"/>
  <c r="H40" i="36"/>
  <c r="H42" i="36" s="1"/>
  <c r="H28" i="36"/>
  <c r="H30" i="36" s="1"/>
  <c r="H5" i="16"/>
  <c r="G36" i="15"/>
  <c r="E51" i="7"/>
  <c r="D11" i="12" s="1"/>
  <c r="E18" i="8"/>
  <c r="D5" i="12" s="1"/>
  <c r="G6" i="36"/>
  <c r="L40" i="15"/>
  <c r="L5" i="11" s="1"/>
  <c r="B9" i="12"/>
  <c r="F2" i="35"/>
  <c r="G4" i="11"/>
  <c r="F6" i="36"/>
  <c r="E14" i="12"/>
  <c r="E3" i="35" s="1"/>
  <c r="E6" i="36"/>
  <c r="G5" i="16"/>
  <c r="D51" i="7"/>
  <c r="C11" i="12" s="1"/>
  <c r="D18" i="8"/>
  <c r="C5" i="12" s="1"/>
  <c r="F14" i="12"/>
  <c r="F3" i="35" s="1"/>
  <c r="I5" i="16"/>
  <c r="G14" i="12"/>
  <c r="G3" i="35" s="1"/>
  <c r="H9" i="12"/>
  <c r="I36" i="15" s="1"/>
  <c r="J28" i="16" s="1"/>
  <c r="H4" i="36"/>
  <c r="H6" i="36" s="1"/>
  <c r="L43" i="15"/>
  <c r="M23" i="16"/>
  <c r="K21" i="12"/>
  <c r="J43" i="18"/>
  <c r="I14" i="4"/>
  <c r="I6" i="12" s="1"/>
  <c r="J23" i="16"/>
  <c r="H21" i="12"/>
  <c r="C9" i="23"/>
  <c r="D40" i="15"/>
  <c r="D5" i="11" s="1"/>
  <c r="C12" i="12"/>
  <c r="C40" i="15"/>
  <c r="B12" i="12"/>
  <c r="Q16" i="3"/>
  <c r="Q17" i="3" s="1"/>
  <c r="R15" i="3" s="1"/>
  <c r="Q5" i="3"/>
  <c r="E6" i="3"/>
  <c r="D5" i="3"/>
  <c r="H28" i="16" l="1"/>
  <c r="H44" i="36"/>
  <c r="H32" i="36"/>
  <c r="H8" i="36"/>
  <c r="H20" i="36"/>
  <c r="K44" i="36"/>
  <c r="K32" i="36"/>
  <c r="K20" i="36"/>
  <c r="K8" i="36"/>
  <c r="D5" i="36"/>
  <c r="D41" i="36"/>
  <c r="D17" i="36"/>
  <c r="D29" i="36"/>
  <c r="D3" i="36"/>
  <c r="D6" i="36" s="1"/>
  <c r="D39" i="36"/>
  <c r="D42" i="36" s="1"/>
  <c r="D15" i="36"/>
  <c r="D18" i="36" s="1"/>
  <c r="D27" i="36"/>
  <c r="D30" i="36" s="1"/>
  <c r="C29" i="36"/>
  <c r="C17" i="36"/>
  <c r="C41" i="36"/>
  <c r="C5" i="11"/>
  <c r="C43" i="15"/>
  <c r="C27" i="36"/>
  <c r="C15" i="36"/>
  <c r="C18" i="36" s="1"/>
  <c r="C39" i="36"/>
  <c r="C3" i="36"/>
  <c r="B41" i="36"/>
  <c r="B42" i="36" s="1"/>
  <c r="B17" i="36"/>
  <c r="B18" i="36" s="1"/>
  <c r="B29" i="36"/>
  <c r="B30" i="36" s="1"/>
  <c r="C36" i="15"/>
  <c r="D28" i="16" s="1"/>
  <c r="I28" i="16"/>
  <c r="I28" i="36"/>
  <c r="I30" i="36" s="1"/>
  <c r="I40" i="36"/>
  <c r="I42" i="36" s="1"/>
  <c r="I16" i="36"/>
  <c r="I18" i="36" s="1"/>
  <c r="D9" i="12"/>
  <c r="D5" i="16"/>
  <c r="B2" i="35"/>
  <c r="C9" i="12"/>
  <c r="D36" i="15" s="1"/>
  <c r="H14" i="12"/>
  <c r="J5" i="16"/>
  <c r="I4" i="11"/>
  <c r="C5" i="36"/>
  <c r="B14" i="12"/>
  <c r="B3" i="35" s="1"/>
  <c r="B5" i="36"/>
  <c r="B6" i="36" s="1"/>
  <c r="I9" i="12"/>
  <c r="I4" i="36"/>
  <c r="I6" i="36" s="1"/>
  <c r="K43" i="18"/>
  <c r="J14" i="4"/>
  <c r="J6" i="12" s="1"/>
  <c r="D43" i="15"/>
  <c r="F6" i="3"/>
  <c r="R16" i="3"/>
  <c r="R17" i="3" s="1"/>
  <c r="S15" i="3" s="1"/>
  <c r="D7" i="3"/>
  <c r="Q6" i="3"/>
  <c r="C42" i="36" l="1"/>
  <c r="E28" i="16"/>
  <c r="C4" i="11"/>
  <c r="C30" i="36"/>
  <c r="D2" i="35"/>
  <c r="E36" i="15"/>
  <c r="J40" i="36"/>
  <c r="J42" i="36" s="1"/>
  <c r="J28" i="36"/>
  <c r="J30" i="36" s="1"/>
  <c r="J16" i="36"/>
  <c r="J18" i="36" s="1"/>
  <c r="K5" i="16"/>
  <c r="J36" i="15"/>
  <c r="K28" i="16" s="1"/>
  <c r="D14" i="12"/>
  <c r="D3" i="35" s="1"/>
  <c r="F5" i="16"/>
  <c r="C6" i="36"/>
  <c r="D4" i="11"/>
  <c r="E5" i="16"/>
  <c r="C14" i="12"/>
  <c r="C3" i="35" s="1"/>
  <c r="C2" i="35"/>
  <c r="I14" i="12"/>
  <c r="J9" i="12"/>
  <c r="K36" i="15" s="1"/>
  <c r="J4" i="36"/>
  <c r="J6" i="36" s="1"/>
  <c r="L43" i="18"/>
  <c r="K14" i="4"/>
  <c r="K6" i="12" s="1"/>
  <c r="S16" i="3"/>
  <c r="S17" i="3" s="1"/>
  <c r="T15" i="3" s="1"/>
  <c r="E5" i="3"/>
  <c r="G6" i="3"/>
  <c r="Q7" i="3"/>
  <c r="L28" i="16" l="1"/>
  <c r="J4" i="11"/>
  <c r="F28" i="16"/>
  <c r="E4" i="11"/>
  <c r="G28" i="16"/>
  <c r="K16" i="36"/>
  <c r="K18" i="36" s="1"/>
  <c r="K40" i="36"/>
  <c r="K42" i="36" s="1"/>
  <c r="K4" i="36"/>
  <c r="K6" i="36" s="1"/>
  <c r="K28" i="36"/>
  <c r="K30" i="36" s="1"/>
  <c r="L5" i="16"/>
  <c r="J14" i="12"/>
  <c r="K9" i="12"/>
  <c r="K4" i="11"/>
  <c r="T16" i="3"/>
  <c r="T17" i="3" s="1"/>
  <c r="U15" i="3" s="1"/>
  <c r="R5" i="3"/>
  <c r="E7" i="3"/>
  <c r="H6" i="3"/>
  <c r="K14" i="12" l="1"/>
  <c r="L36" i="15"/>
  <c r="M28" i="16" s="1"/>
  <c r="M5" i="16"/>
  <c r="R6" i="3"/>
  <c r="I6" i="3"/>
  <c r="J6" i="3" s="1"/>
  <c r="U16" i="3"/>
  <c r="U17" i="3" s="1"/>
  <c r="V15" i="3" s="1"/>
  <c r="F5" i="3"/>
  <c r="L4" i="11" l="1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L6" i="3"/>
  <c r="G5" i="3"/>
  <c r="S6" i="3"/>
  <c r="S7" i="3" s="1"/>
  <c r="T5" i="3" l="1"/>
  <c r="G7" i="3"/>
  <c r="T6" i="3" l="1"/>
  <c r="H5" i="3"/>
  <c r="H7" i="3" l="1"/>
  <c r="T7" i="3"/>
  <c r="I5" i="3" l="1"/>
  <c r="U5" i="3"/>
  <c r="U6" i="3" l="1"/>
  <c r="I7" i="3"/>
  <c r="J5" i="3" s="1"/>
  <c r="J7" i="3" l="1"/>
  <c r="U7" i="3"/>
  <c r="K5" i="3" l="1"/>
  <c r="V5" i="3"/>
  <c r="K7" i="3" l="1"/>
  <c r="V6" i="3"/>
  <c r="L5" i="3" l="1"/>
  <c r="V7" i="3"/>
  <c r="W5" i="3" s="1"/>
  <c r="W6" i="3" l="1"/>
  <c r="L7" i="3"/>
  <c r="E6" i="1"/>
  <c r="W7" i="3" l="1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s="1"/>
  <c r="X6" i="3" l="1"/>
  <c r="X7" i="3" s="1"/>
  <c r="B8" i="14"/>
  <c r="D23" i="10"/>
  <c r="D27" i="10" s="1"/>
  <c r="B23" i="12"/>
  <c r="D10" i="3"/>
  <c r="C21" i="3"/>
  <c r="C30" i="15" s="1"/>
  <c r="D11" i="3"/>
  <c r="C20" i="3"/>
  <c r="P19" i="3"/>
  <c r="P11" i="3"/>
  <c r="B21" i="36" l="1"/>
  <c r="B9" i="36"/>
  <c r="B33" i="36"/>
  <c r="B45" i="36"/>
  <c r="Y5" i="3"/>
  <c r="C6" i="31"/>
  <c r="C9" i="30"/>
  <c r="C8" i="29"/>
  <c r="B5" i="23"/>
  <c r="C53" i="17"/>
  <c r="C40" i="17"/>
  <c r="C7" i="17"/>
  <c r="B36" i="17"/>
  <c r="D32" i="15"/>
  <c r="C8" i="14"/>
  <c r="B32" i="12"/>
  <c r="C29" i="15"/>
  <c r="E23" i="10"/>
  <c r="E27" i="10" s="1"/>
  <c r="D21" i="16"/>
  <c r="D12" i="3"/>
  <c r="D19" i="3"/>
  <c r="D28" i="15" s="1"/>
  <c r="P12" i="3"/>
  <c r="P20" i="3"/>
  <c r="B7" i="14" s="1"/>
  <c r="E11" i="3"/>
  <c r="D20" i="3"/>
  <c r="Y6" i="3" l="1"/>
  <c r="Y7" i="3" s="1"/>
  <c r="D6" i="31"/>
  <c r="D9" i="30"/>
  <c r="D8" i="29"/>
  <c r="B7" i="29"/>
  <c r="B8" i="30"/>
  <c r="B5" i="31"/>
  <c r="C23" i="12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F11" i="3"/>
  <c r="E20" i="3"/>
  <c r="E10" i="3"/>
  <c r="D21" i="3"/>
  <c r="D30" i="15" s="1"/>
  <c r="Q10" i="3"/>
  <c r="P21" i="3"/>
  <c r="C9" i="36" l="1"/>
  <c r="C21" i="36"/>
  <c r="C45" i="36"/>
  <c r="C33" i="36"/>
  <c r="E21" i="16"/>
  <c r="E6" i="31"/>
  <c r="E9" i="30"/>
  <c r="E8" i="29"/>
  <c r="C8" i="30"/>
  <c r="C5" i="31"/>
  <c r="C7" i="29"/>
  <c r="C36" i="17"/>
  <c r="C5" i="23"/>
  <c r="D23" i="12"/>
  <c r="F32" i="15"/>
  <c r="E53" i="17"/>
  <c r="E40" i="17"/>
  <c r="E7" i="17"/>
  <c r="C39" i="17"/>
  <c r="C5" i="17"/>
  <c r="C51" i="17"/>
  <c r="E8" i="14"/>
  <c r="E29" i="15"/>
  <c r="D32" i="12"/>
  <c r="G23" i="10"/>
  <c r="G27" i="10" s="1"/>
  <c r="C6" i="14"/>
  <c r="Q11" i="3"/>
  <c r="Q20" i="3" s="1"/>
  <c r="C7" i="14" s="1"/>
  <c r="Q19" i="3"/>
  <c r="G11" i="3"/>
  <c r="F20" i="3"/>
  <c r="E12" i="3"/>
  <c r="E19" i="3"/>
  <c r="E28" i="15" s="1"/>
  <c r="D9" i="36" l="1"/>
  <c r="D45" i="36"/>
  <c r="D33" i="36"/>
  <c r="D21" i="36"/>
  <c r="D36" i="17"/>
  <c r="F6" i="31"/>
  <c r="F9" i="30"/>
  <c r="F8" i="29"/>
  <c r="D8" i="30"/>
  <c r="D5" i="31"/>
  <c r="D7" i="29"/>
  <c r="F21" i="16"/>
  <c r="D5" i="23"/>
  <c r="E23" i="12"/>
  <c r="G32" i="15"/>
  <c r="F53" i="17"/>
  <c r="F40" i="17"/>
  <c r="F7" i="17"/>
  <c r="D5" i="17"/>
  <c r="D51" i="17"/>
  <c r="D39" i="17"/>
  <c r="F8" i="14"/>
  <c r="H23" i="10"/>
  <c r="H27" i="10" s="1"/>
  <c r="E32" i="12"/>
  <c r="F29" i="15"/>
  <c r="D6" i="14"/>
  <c r="H11" i="3"/>
  <c r="G20" i="3"/>
  <c r="Q12" i="3"/>
  <c r="F10" i="3"/>
  <c r="E21" i="3"/>
  <c r="E30" i="15" s="1"/>
  <c r="E9" i="36" l="1"/>
  <c r="E45" i="36"/>
  <c r="E33" i="36"/>
  <c r="E21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F23" i="12"/>
  <c r="G23" i="12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9" i="36" l="1"/>
  <c r="F45" i="36"/>
  <c r="F33" i="36"/>
  <c r="F21" i="36"/>
  <c r="G9" i="36"/>
  <c r="G21" i="36"/>
  <c r="G45" i="36"/>
  <c r="G33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9" i="36" l="1"/>
  <c r="H45" i="36"/>
  <c r="H33" i="36"/>
  <c r="H21" i="36"/>
  <c r="H32" i="12"/>
  <c r="H7" i="29" s="1"/>
  <c r="K23" i="10"/>
  <c r="J27" i="10"/>
  <c r="I23" i="12" s="1"/>
  <c r="K11" i="3"/>
  <c r="J20" i="3"/>
  <c r="G5" i="31"/>
  <c r="G8" i="30"/>
  <c r="G7" i="29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8" i="30" l="1"/>
  <c r="H39" i="17"/>
  <c r="I9" i="36"/>
  <c r="I45" i="36"/>
  <c r="I33" i="36"/>
  <c r="I21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9" i="36" l="1"/>
  <c r="J45" i="36"/>
  <c r="J33" i="36"/>
  <c r="J21" i="36"/>
  <c r="K9" i="36"/>
  <c r="K21" i="36"/>
  <c r="K45" i="36"/>
  <c r="K33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35" i="10" l="1"/>
  <c r="C23" i="9"/>
  <c r="C30" i="10"/>
  <c r="C42" i="10" l="1"/>
  <c r="B25" i="12" s="1"/>
  <c r="C22" i="15" s="1"/>
  <c r="D35" i="10"/>
  <c r="D30" i="10"/>
  <c r="D23" i="9"/>
  <c r="B29" i="12" l="1"/>
  <c r="B6" i="35" s="1"/>
  <c r="B22" i="36"/>
  <c r="B23" i="36" s="1"/>
  <c r="B24" i="36" s="1"/>
  <c r="B34" i="36"/>
  <c r="B35" i="36" s="1"/>
  <c r="B36" i="36" s="1"/>
  <c r="B10" i="36"/>
  <c r="B11" i="36" s="1"/>
  <c r="B12" i="36" s="1"/>
  <c r="D22" i="16"/>
  <c r="B4" i="35"/>
  <c r="B5" i="35" s="1"/>
  <c r="B4" i="23"/>
  <c r="B8" i="23" s="1"/>
  <c r="B12" i="23" s="1"/>
  <c r="B14" i="23" s="1"/>
  <c r="B16" i="23" s="1"/>
  <c r="B46" i="36"/>
  <c r="B47" i="36" s="1"/>
  <c r="B48" i="36" s="1"/>
  <c r="E35" i="10"/>
  <c r="E30" i="10"/>
  <c r="E23" i="9"/>
  <c r="D10" i="16"/>
  <c r="C6" i="11"/>
  <c r="D42" i="10"/>
  <c r="C25" i="12" s="1"/>
  <c r="D22" i="15" s="1"/>
  <c r="C46" i="36" l="1"/>
  <c r="C47" i="36" s="1"/>
  <c r="C48" i="36" s="1"/>
  <c r="C34" i="36"/>
  <c r="C35" i="36" s="1"/>
  <c r="C36" i="36" s="1"/>
  <c r="C22" i="36"/>
  <c r="C23" i="36" s="1"/>
  <c r="C24" i="36" s="1"/>
  <c r="F35" i="10"/>
  <c r="F30" i="10"/>
  <c r="F23" i="9"/>
  <c r="C8" i="11"/>
  <c r="C11" i="11"/>
  <c r="C13" i="11" s="1"/>
  <c r="C4" i="23"/>
  <c r="C8" i="23" s="1"/>
  <c r="C12" i="23" s="1"/>
  <c r="E22" i="16"/>
  <c r="C4" i="35"/>
  <c r="C5" i="35" s="1"/>
  <c r="C10" i="36"/>
  <c r="C11" i="36" s="1"/>
  <c r="C12" i="36" s="1"/>
  <c r="C29" i="12"/>
  <c r="E42" i="10"/>
  <c r="D25" i="12" s="1"/>
  <c r="E22" i="15" s="1"/>
  <c r="C31" i="20" l="1"/>
  <c r="B13" i="2"/>
  <c r="F42" i="10"/>
  <c r="E25" i="12" s="1"/>
  <c r="F22" i="15" s="1"/>
  <c r="D46" i="36"/>
  <c r="D47" i="36" s="1"/>
  <c r="D48" i="36" s="1"/>
  <c r="D34" i="36"/>
  <c r="D35" i="36" s="1"/>
  <c r="D36" i="36" s="1"/>
  <c r="D22" i="36"/>
  <c r="D23" i="36" s="1"/>
  <c r="D24" i="36" s="1"/>
  <c r="G35" i="10"/>
  <c r="G23" i="9"/>
  <c r="G30" i="10"/>
  <c r="C6" i="35"/>
  <c r="E4" i="23"/>
  <c r="E8" i="23" s="1"/>
  <c r="E12" i="23" s="1"/>
  <c r="E10" i="16"/>
  <c r="D6" i="11"/>
  <c r="C14" i="23"/>
  <c r="C16" i="23" s="1"/>
  <c r="D10" i="36"/>
  <c r="D11" i="36" s="1"/>
  <c r="D12" i="36" s="1"/>
  <c r="D4" i="23"/>
  <c r="D8" i="23" s="1"/>
  <c r="D12" i="23" s="1"/>
  <c r="D4" i="35"/>
  <c r="D5" i="35" s="1"/>
  <c r="F22" i="16"/>
  <c r="D29" i="12"/>
  <c r="G22" i="16" l="1"/>
  <c r="E29" i="12"/>
  <c r="E6" i="35" s="1"/>
  <c r="E4" i="35"/>
  <c r="E5" i="35" s="1"/>
  <c r="E34" i="36"/>
  <c r="E35" i="36" s="1"/>
  <c r="E36" i="36" s="1"/>
  <c r="E46" i="36"/>
  <c r="E47" i="36" s="1"/>
  <c r="E48" i="36" s="1"/>
  <c r="E10" i="36"/>
  <c r="E11" i="36" s="1"/>
  <c r="E12" i="36" s="1"/>
  <c r="E22" i="36"/>
  <c r="E23" i="36" s="1"/>
  <c r="E24" i="36" s="1"/>
  <c r="G42" i="10"/>
  <c r="F25" i="12" s="1"/>
  <c r="G22" i="15" s="1"/>
  <c r="D6" i="35"/>
  <c r="G10" i="16"/>
  <c r="F6" i="11"/>
  <c r="F4" i="35"/>
  <c r="F5" i="35" s="1"/>
  <c r="F10" i="16"/>
  <c r="E6" i="11"/>
  <c r="D14" i="23"/>
  <c r="D16" i="23" s="1"/>
  <c r="H35" i="10"/>
  <c r="H30" i="10"/>
  <c r="H23" i="9"/>
  <c r="E14" i="23"/>
  <c r="E16" i="23" s="1"/>
  <c r="E15" i="1"/>
  <c r="E17" i="1" s="1"/>
  <c r="D8" i="11"/>
  <c r="D11" i="11"/>
  <c r="D13" i="11" s="1"/>
  <c r="C15" i="11"/>
  <c r="F29" i="12" l="1"/>
  <c r="F6" i="35" s="1"/>
  <c r="F4" i="23"/>
  <c r="F8" i="23" s="1"/>
  <c r="F12" i="23" s="1"/>
  <c r="F14" i="23" s="1"/>
  <c r="F16" i="23" s="1"/>
  <c r="F46" i="36"/>
  <c r="F47" i="36" s="1"/>
  <c r="F48" i="36" s="1"/>
  <c r="H42" i="10"/>
  <c r="G25" i="12" s="1"/>
  <c r="H22" i="15" s="1"/>
  <c r="H22" i="16"/>
  <c r="F22" i="36"/>
  <c r="F23" i="36" s="1"/>
  <c r="F24" i="36" s="1"/>
  <c r="F10" i="36"/>
  <c r="F11" i="36" s="1"/>
  <c r="F12" i="36" s="1"/>
  <c r="F34" i="36"/>
  <c r="F35" i="36" s="1"/>
  <c r="F36" i="36" s="1"/>
  <c r="D15" i="11"/>
  <c r="E8" i="11"/>
  <c r="E11" i="11"/>
  <c r="E13" i="11" s="1"/>
  <c r="F8" i="11"/>
  <c r="F11" i="11"/>
  <c r="F13" i="11" s="1"/>
  <c r="C21" i="15"/>
  <c r="D8" i="16" s="1"/>
  <c r="D12" i="16" s="1"/>
  <c r="B31" i="12"/>
  <c r="B15" i="2"/>
  <c r="I35" i="10"/>
  <c r="I30" i="10"/>
  <c r="I23" i="9"/>
  <c r="H10" i="16"/>
  <c r="G6" i="11"/>
  <c r="I22" i="16" l="1"/>
  <c r="G34" i="36"/>
  <c r="G35" i="36" s="1"/>
  <c r="G36" i="36" s="1"/>
  <c r="G10" i="36"/>
  <c r="G11" i="36" s="1"/>
  <c r="G12" i="36" s="1"/>
  <c r="G29" i="12"/>
  <c r="G6" i="35" s="1"/>
  <c r="G4" i="35"/>
  <c r="G5" i="35" s="1"/>
  <c r="G46" i="36"/>
  <c r="G47" i="36" s="1"/>
  <c r="G48" i="36" s="1"/>
  <c r="G4" i="23"/>
  <c r="G8" i="23" s="1"/>
  <c r="G12" i="23" s="1"/>
  <c r="G14" i="23" s="1"/>
  <c r="G16" i="23" s="1"/>
  <c r="G22" i="36"/>
  <c r="G23" i="36" s="1"/>
  <c r="G24" i="36" s="1"/>
  <c r="I42" i="10"/>
  <c r="H25" i="12" s="1"/>
  <c r="I22" i="15" s="1"/>
  <c r="C13" i="2"/>
  <c r="C15" i="2"/>
  <c r="D27" i="16"/>
  <c r="B38" i="17"/>
  <c r="B34" i="12"/>
  <c r="C31" i="12"/>
  <c r="D21" i="15"/>
  <c r="E8" i="16" s="1"/>
  <c r="E12" i="16" s="1"/>
  <c r="J35" i="10"/>
  <c r="J23" i="9"/>
  <c r="J30" i="10"/>
  <c r="G8" i="11"/>
  <c r="G11" i="11"/>
  <c r="G13" i="11" s="1"/>
  <c r="C9" i="2"/>
  <c r="C8" i="2"/>
  <c r="C6" i="2"/>
  <c r="C12" i="2"/>
  <c r="C10" i="2"/>
  <c r="B16" i="29"/>
  <c r="C7" i="2"/>
  <c r="C11" i="2"/>
  <c r="B23" i="2"/>
  <c r="C5" i="2"/>
  <c r="B19" i="30"/>
  <c r="B20" i="2"/>
  <c r="B20" i="17"/>
  <c r="F15" i="11"/>
  <c r="E15" i="11"/>
  <c r="I10" i="16"/>
  <c r="H6" i="11"/>
  <c r="H4" i="23" l="1"/>
  <c r="H8" i="23" s="1"/>
  <c r="H12" i="23" s="1"/>
  <c r="H14" i="23" s="1"/>
  <c r="H16" i="23" s="1"/>
  <c r="J22" i="16"/>
  <c r="H34" i="36"/>
  <c r="H35" i="36" s="1"/>
  <c r="H36" i="36" s="1"/>
  <c r="H29" i="12"/>
  <c r="H46" i="36"/>
  <c r="H47" i="36" s="1"/>
  <c r="H48" i="36" s="1"/>
  <c r="H10" i="36"/>
  <c r="H11" i="36" s="1"/>
  <c r="H12" i="36" s="1"/>
  <c r="H22" i="36"/>
  <c r="H23" i="36" s="1"/>
  <c r="H24" i="36" s="1"/>
  <c r="B30" i="17"/>
  <c r="D31" i="12"/>
  <c r="E21" i="15"/>
  <c r="F8" i="16" s="1"/>
  <c r="F12" i="16" s="1"/>
  <c r="E31" i="12"/>
  <c r="F21" i="15"/>
  <c r="J42" i="10"/>
  <c r="I25" i="12" s="1"/>
  <c r="J22" i="15" s="1"/>
  <c r="E27" i="16"/>
  <c r="C38" i="17"/>
  <c r="C34" i="12"/>
  <c r="C20" i="2"/>
  <c r="B13" i="15"/>
  <c r="C23" i="2"/>
  <c r="B13" i="34"/>
  <c r="O16" i="34" s="1"/>
  <c r="B26" i="29"/>
  <c r="B23" i="30"/>
  <c r="C21" i="2"/>
  <c r="B9" i="34"/>
  <c r="M16" i="34" s="1"/>
  <c r="J10" i="16"/>
  <c r="I6" i="11"/>
  <c r="H8" i="11"/>
  <c r="H11" i="11"/>
  <c r="H13" i="11" s="1"/>
  <c r="B19" i="2"/>
  <c r="G15" i="11"/>
  <c r="B20" i="28"/>
  <c r="A24" i="28" s="1"/>
  <c r="K35" i="10"/>
  <c r="K30" i="10"/>
  <c r="K23" i="9"/>
  <c r="B7" i="35"/>
  <c r="B5" i="14"/>
  <c r="B9" i="14" s="1"/>
  <c r="B35" i="12" l="1"/>
  <c r="D30" i="16" s="1"/>
  <c r="D32" i="16" s="1"/>
  <c r="D33" i="16" s="1"/>
  <c r="B10" i="14"/>
  <c r="C11" i="14" s="1"/>
  <c r="K42" i="10"/>
  <c r="J25" i="12" s="1"/>
  <c r="K22" i="15" s="1"/>
  <c r="B36" i="12"/>
  <c r="B29" i="17" s="1"/>
  <c r="B33" i="17" s="1"/>
  <c r="B42" i="17" s="1"/>
  <c r="I22" i="36"/>
  <c r="I23" i="36" s="1"/>
  <c r="I24" i="36" s="1"/>
  <c r="I46" i="36"/>
  <c r="I47" i="36" s="1"/>
  <c r="I48" i="36" s="1"/>
  <c r="I34" i="36"/>
  <c r="I35" i="36" s="1"/>
  <c r="I36" i="36" s="1"/>
  <c r="C30" i="17"/>
  <c r="G8" i="16"/>
  <c r="G12" i="16" s="1"/>
  <c r="I8" i="11"/>
  <c r="I11" i="11"/>
  <c r="I13" i="11" s="1"/>
  <c r="I10" i="36"/>
  <c r="I11" i="36" s="1"/>
  <c r="I12" i="36" s="1"/>
  <c r="K22" i="16"/>
  <c r="I29" i="12"/>
  <c r="E38" i="17"/>
  <c r="G27" i="16"/>
  <c r="E34" i="12"/>
  <c r="C19" i="2"/>
  <c r="B7" i="15"/>
  <c r="C7" i="15"/>
  <c r="C9" i="16"/>
  <c r="C13" i="15"/>
  <c r="C5" i="14"/>
  <c r="C7" i="35"/>
  <c r="L35" i="10"/>
  <c r="L30" i="10"/>
  <c r="H15" i="11"/>
  <c r="J10" i="36"/>
  <c r="J11" i="36" s="1"/>
  <c r="J12" i="36" s="1"/>
  <c r="F31" i="12"/>
  <c r="G21" i="15"/>
  <c r="H8" i="16" s="1"/>
  <c r="H12" i="16" s="1"/>
  <c r="F27" i="16"/>
  <c r="D38" i="17"/>
  <c r="D34" i="12"/>
  <c r="C9" i="14" l="1"/>
  <c r="C12" i="14" s="1"/>
  <c r="C35" i="12" s="1"/>
  <c r="J22" i="36"/>
  <c r="J23" i="36" s="1"/>
  <c r="J24" i="36" s="1"/>
  <c r="J34" i="36"/>
  <c r="J35" i="36" s="1"/>
  <c r="J36" i="36" s="1"/>
  <c r="L22" i="16"/>
  <c r="J29" i="12"/>
  <c r="J46" i="36"/>
  <c r="J47" i="36" s="1"/>
  <c r="J48" i="36" s="1"/>
  <c r="B50" i="17"/>
  <c r="B55" i="17" s="1"/>
  <c r="B58" i="17" s="1"/>
  <c r="B60" i="17" s="1"/>
  <c r="D4" i="26"/>
  <c r="D5" i="26" s="1"/>
  <c r="D13" i="26" s="1"/>
  <c r="B9" i="28" s="1"/>
  <c r="B10" i="28" s="1"/>
  <c r="B6" i="30"/>
  <c r="B11" i="30" s="1"/>
  <c r="B15" i="30" s="1"/>
  <c r="B41" i="12"/>
  <c r="B3" i="17"/>
  <c r="B11" i="17" s="1"/>
  <c r="B15" i="17" s="1"/>
  <c r="B5" i="29"/>
  <c r="B10" i="29" s="1"/>
  <c r="B13" i="29" s="1"/>
  <c r="B8" i="35"/>
  <c r="B6" i="34"/>
  <c r="C18" i="15"/>
  <c r="C19" i="15" s="1"/>
  <c r="B30" i="33" s="1"/>
  <c r="B4" i="31"/>
  <c r="B12" i="31" s="1"/>
  <c r="B16" i="31" s="1"/>
  <c r="D30" i="17"/>
  <c r="E30" i="17"/>
  <c r="L42" i="10"/>
  <c r="K25" i="12" s="1"/>
  <c r="L22" i="15" s="1"/>
  <c r="B9" i="15"/>
  <c r="B24" i="15" s="1"/>
  <c r="C7" i="16"/>
  <c r="C12" i="16" s="1"/>
  <c r="C33" i="16" s="1"/>
  <c r="C35" i="16" s="1"/>
  <c r="E7" i="35"/>
  <c r="E5" i="14"/>
  <c r="E9" i="14" s="1"/>
  <c r="E12" i="14" s="1"/>
  <c r="E35" i="12" s="1"/>
  <c r="G30" i="16" s="1"/>
  <c r="G32" i="16" s="1"/>
  <c r="G33" i="16" s="1"/>
  <c r="I15" i="11"/>
  <c r="H27" i="16"/>
  <c r="F38" i="17"/>
  <c r="F34" i="12"/>
  <c r="D13" i="15"/>
  <c r="G31" i="12"/>
  <c r="H21" i="15"/>
  <c r="I8" i="16" s="1"/>
  <c r="I12" i="16" s="1"/>
  <c r="D5" i="14"/>
  <c r="D9" i="14" s="1"/>
  <c r="D12" i="14" s="1"/>
  <c r="D35" i="12" s="1"/>
  <c r="F30" i="16" s="1"/>
  <c r="F32" i="16" s="1"/>
  <c r="F33" i="16" s="1"/>
  <c r="D7" i="35"/>
  <c r="L10" i="16"/>
  <c r="K6" i="11"/>
  <c r="C9" i="15"/>
  <c r="B13" i="33" s="1"/>
  <c r="D7" i="15"/>
  <c r="K10" i="16"/>
  <c r="J6" i="11"/>
  <c r="E30" i="16" l="1"/>
  <c r="E32" i="16" s="1"/>
  <c r="E33" i="16" s="1"/>
  <c r="C36" i="12"/>
  <c r="C29" i="17" s="1"/>
  <c r="C33" i="17" s="1"/>
  <c r="C42" i="17" s="1"/>
  <c r="B23" i="29"/>
  <c r="B14" i="31"/>
  <c r="B17" i="31" s="1"/>
  <c r="D16" i="15"/>
  <c r="B14" i="33"/>
  <c r="B16" i="33" s="1"/>
  <c r="B18" i="33" s="1"/>
  <c r="D12" i="26"/>
  <c r="B12" i="28" s="1"/>
  <c r="B13" i="28" s="1"/>
  <c r="B16" i="28" s="1"/>
  <c r="B18" i="28" s="1"/>
  <c r="C6" i="34"/>
  <c r="C8" i="35"/>
  <c r="E4" i="26"/>
  <c r="E5" i="26" s="1"/>
  <c r="E12" i="26" s="1"/>
  <c r="C12" i="28" s="1"/>
  <c r="C13" i="28" s="1"/>
  <c r="D36" i="12"/>
  <c r="D29" i="17" s="1"/>
  <c r="D33" i="17" s="1"/>
  <c r="D42" i="17" s="1"/>
  <c r="E36" i="12"/>
  <c r="E29" i="17" s="1"/>
  <c r="E33" i="17" s="1"/>
  <c r="E42" i="17" s="1"/>
  <c r="K46" i="36"/>
  <c r="K47" i="36" s="1"/>
  <c r="K48" i="36" s="1"/>
  <c r="K34" i="36"/>
  <c r="K35" i="36" s="1"/>
  <c r="K36" i="36" s="1"/>
  <c r="K22" i="36"/>
  <c r="K23" i="36" s="1"/>
  <c r="K24" i="36" s="1"/>
  <c r="F30" i="17"/>
  <c r="C24" i="15"/>
  <c r="F5" i="14"/>
  <c r="F9" i="14" s="1"/>
  <c r="F12" i="14" s="1"/>
  <c r="F35" i="12" s="1"/>
  <c r="H30" i="16" s="1"/>
  <c r="H32" i="16" s="1"/>
  <c r="H33" i="16" s="1"/>
  <c r="F7" i="35"/>
  <c r="D34" i="16"/>
  <c r="D35" i="16" s="1"/>
  <c r="B47" i="15"/>
  <c r="B29" i="33"/>
  <c r="B32" i="33" s="1"/>
  <c r="B34" i="33" s="1"/>
  <c r="I27" i="16"/>
  <c r="G38" i="17"/>
  <c r="G34" i="12"/>
  <c r="D9" i="15"/>
  <c r="C13" i="33" s="1"/>
  <c r="E7" i="15"/>
  <c r="J8" i="11"/>
  <c r="J11" i="11"/>
  <c r="J13" i="11" s="1"/>
  <c r="K8" i="11"/>
  <c r="K11" i="11"/>
  <c r="K13" i="11" s="1"/>
  <c r="E13" i="15"/>
  <c r="H31" i="12"/>
  <c r="I21" i="15"/>
  <c r="J8" i="16" s="1"/>
  <c r="J12" i="16" s="1"/>
  <c r="K10" i="36"/>
  <c r="K11" i="36" s="1"/>
  <c r="K12" i="36" s="1"/>
  <c r="M22" i="16"/>
  <c r="K29" i="12"/>
  <c r="C6" i="30" l="1"/>
  <c r="C11" i="30" s="1"/>
  <c r="C15" i="30" s="1"/>
  <c r="D18" i="15"/>
  <c r="C3" i="17"/>
  <c r="C11" i="17" s="1"/>
  <c r="C15" i="17" s="1"/>
  <c r="C41" i="12"/>
  <c r="C5" i="29"/>
  <c r="C10" i="29" s="1"/>
  <c r="C13" i="29" s="1"/>
  <c r="C50" i="17"/>
  <c r="C55" i="17" s="1"/>
  <c r="C58" i="17" s="1"/>
  <c r="C4" i="31"/>
  <c r="D8" i="35"/>
  <c r="E13" i="26"/>
  <c r="C9" i="28" s="1"/>
  <c r="C10" i="28" s="1"/>
  <c r="D19" i="15"/>
  <c r="C14" i="33" s="1"/>
  <c r="C16" i="33" s="1"/>
  <c r="C18" i="33" s="1"/>
  <c r="F4" i="26"/>
  <c r="F5" i="26" s="1"/>
  <c r="F12" i="26" s="1"/>
  <c r="D12" i="28" s="1"/>
  <c r="D13" i="28" s="1"/>
  <c r="D41" i="12"/>
  <c r="E41" i="12" s="1"/>
  <c r="D5" i="29"/>
  <c r="D10" i="29" s="1"/>
  <c r="D23" i="29" s="1"/>
  <c r="D3" i="17"/>
  <c r="D11" i="17" s="1"/>
  <c r="D15" i="17" s="1"/>
  <c r="E18" i="15"/>
  <c r="D6" i="34"/>
  <c r="D50" i="17"/>
  <c r="D55" i="17" s="1"/>
  <c r="D58" i="17" s="1"/>
  <c r="F18" i="15"/>
  <c r="D4" i="31"/>
  <c r="D14" i="31" s="1"/>
  <c r="D6" i="30"/>
  <c r="D11" i="30" s="1"/>
  <c r="D15" i="30" s="1"/>
  <c r="C23" i="29"/>
  <c r="E5" i="29"/>
  <c r="E10" i="29" s="1"/>
  <c r="E23" i="29" s="1"/>
  <c r="G4" i="26"/>
  <c r="G5" i="26" s="1"/>
  <c r="G12" i="26" s="1"/>
  <c r="E12" i="28" s="1"/>
  <c r="E13" i="28" s="1"/>
  <c r="E50" i="17"/>
  <c r="E55" i="17" s="1"/>
  <c r="E58" i="17" s="1"/>
  <c r="E6" i="34"/>
  <c r="E4" i="31"/>
  <c r="E12" i="31" s="1"/>
  <c r="F36" i="12"/>
  <c r="F29" i="17" s="1"/>
  <c r="F33" i="17" s="1"/>
  <c r="F42" i="17" s="1"/>
  <c r="E6" i="30"/>
  <c r="E11" i="30" s="1"/>
  <c r="E15" i="30" s="1"/>
  <c r="E3" i="17"/>
  <c r="E11" i="17" s="1"/>
  <c r="E15" i="17" s="1"/>
  <c r="E8" i="35"/>
  <c r="G30" i="17"/>
  <c r="B24" i="28"/>
  <c r="C16" i="28"/>
  <c r="C24" i="28" s="1"/>
  <c r="M10" i="16"/>
  <c r="L6" i="11"/>
  <c r="F13" i="15"/>
  <c r="C37" i="16"/>
  <c r="C39" i="16" s="1"/>
  <c r="B50" i="15"/>
  <c r="B52" i="15" s="1"/>
  <c r="H38" i="17"/>
  <c r="J27" i="16"/>
  <c r="H34" i="12"/>
  <c r="K15" i="11"/>
  <c r="E9" i="15"/>
  <c r="D13" i="33" s="1"/>
  <c r="F7" i="15"/>
  <c r="G5" i="14"/>
  <c r="G9" i="14" s="1"/>
  <c r="G12" i="14" s="1"/>
  <c r="G35" i="12" s="1"/>
  <c r="I30" i="16" s="1"/>
  <c r="I32" i="16" s="1"/>
  <c r="I33" i="16" s="1"/>
  <c r="G7" i="35"/>
  <c r="C29" i="33"/>
  <c r="E34" i="16"/>
  <c r="E35" i="16" s="1"/>
  <c r="C47" i="15"/>
  <c r="C50" i="15" s="1"/>
  <c r="J15" i="11"/>
  <c r="O17" i="34" l="1"/>
  <c r="C14" i="31"/>
  <c r="C12" i="31"/>
  <c r="E14" i="31"/>
  <c r="E16" i="15"/>
  <c r="E19" i="15" s="1"/>
  <c r="E24" i="15" s="1"/>
  <c r="C30" i="33"/>
  <c r="C32" i="33" s="1"/>
  <c r="C34" i="33" s="1"/>
  <c r="E13" i="29"/>
  <c r="D13" i="29"/>
  <c r="D24" i="15"/>
  <c r="G13" i="26"/>
  <c r="E9" i="28" s="1"/>
  <c r="E10" i="28" s="1"/>
  <c r="E16" i="28" s="1"/>
  <c r="F8" i="35"/>
  <c r="D12" i="31"/>
  <c r="F41" i="12"/>
  <c r="F13" i="26"/>
  <c r="D9" i="28" s="1"/>
  <c r="D10" i="28" s="1"/>
  <c r="D16" i="28" s="1"/>
  <c r="D18" i="28" s="1"/>
  <c r="F6" i="34"/>
  <c r="O18" i="34" s="1"/>
  <c r="O19" i="34" s="1"/>
  <c r="F5" i="29"/>
  <c r="F10" i="29" s="1"/>
  <c r="F23" i="29" s="1"/>
  <c r="F4" i="31"/>
  <c r="F14" i="31" s="1"/>
  <c r="F50" i="17"/>
  <c r="F55" i="17" s="1"/>
  <c r="F58" i="17" s="1"/>
  <c r="H4" i="26"/>
  <c r="H5" i="26" s="1"/>
  <c r="H12" i="26" s="1"/>
  <c r="F12" i="28" s="1"/>
  <c r="F13" i="28" s="1"/>
  <c r="F6" i="30"/>
  <c r="F11" i="30" s="1"/>
  <c r="F15" i="30" s="1"/>
  <c r="F3" i="17"/>
  <c r="F11" i="17" s="1"/>
  <c r="F15" i="17" s="1"/>
  <c r="G18" i="15"/>
  <c r="G36" i="12"/>
  <c r="G29" i="17" s="1"/>
  <c r="G33" i="17" s="1"/>
  <c r="G42" i="17" s="1"/>
  <c r="C18" i="28"/>
  <c r="H30" i="17"/>
  <c r="J31" i="12"/>
  <c r="K21" i="15"/>
  <c r="C52" i="15"/>
  <c r="D37" i="16"/>
  <c r="D39" i="16" s="1"/>
  <c r="I31" i="12"/>
  <c r="J21" i="15"/>
  <c r="K8" i="16" s="1"/>
  <c r="K12" i="16" s="1"/>
  <c r="F34" i="16"/>
  <c r="F35" i="16" s="1"/>
  <c r="D47" i="15"/>
  <c r="D50" i="15" s="1"/>
  <c r="F9" i="15"/>
  <c r="E13" i="33" s="1"/>
  <c r="G7" i="15"/>
  <c r="H5" i="14"/>
  <c r="H9" i="14" s="1"/>
  <c r="H12" i="14" s="1"/>
  <c r="H35" i="12" s="1"/>
  <c r="J30" i="16" s="1"/>
  <c r="J32" i="16" s="1"/>
  <c r="J33" i="16" s="1"/>
  <c r="D29" i="33"/>
  <c r="G13" i="15"/>
  <c r="L8" i="11"/>
  <c r="L11" i="11"/>
  <c r="L13" i="11" s="1"/>
  <c r="F13" i="29" l="1"/>
  <c r="F12" i="31"/>
  <c r="F16" i="15"/>
  <c r="F19" i="15" s="1"/>
  <c r="F24" i="15" s="1"/>
  <c r="D14" i="33"/>
  <c r="D16" i="33" s="1"/>
  <c r="D18" i="33" s="1"/>
  <c r="D30" i="33"/>
  <c r="D32" i="33" s="1"/>
  <c r="D34" i="33" s="1"/>
  <c r="G4" i="31"/>
  <c r="G12" i="31" s="1"/>
  <c r="G3" i="17"/>
  <c r="G11" i="17" s="1"/>
  <c r="G15" i="17" s="1"/>
  <c r="G6" i="34"/>
  <c r="H13" i="26"/>
  <c r="F9" i="28" s="1"/>
  <c r="F10" i="28" s="1"/>
  <c r="F16" i="28" s="1"/>
  <c r="F18" i="28" s="1"/>
  <c r="I4" i="26"/>
  <c r="I5" i="26" s="1"/>
  <c r="I13" i="26" s="1"/>
  <c r="G9" i="28" s="1"/>
  <c r="G10" i="28" s="1"/>
  <c r="G8" i="35"/>
  <c r="G5" i="29"/>
  <c r="G10" i="29" s="1"/>
  <c r="G23" i="29" s="1"/>
  <c r="G50" i="17"/>
  <c r="G55" i="17" s="1"/>
  <c r="G58" i="17" s="1"/>
  <c r="G41" i="12"/>
  <c r="G6" i="30"/>
  <c r="G11" i="30" s="1"/>
  <c r="G15" i="30" s="1"/>
  <c r="H18" i="15"/>
  <c r="H36" i="12"/>
  <c r="H29" i="17" s="1"/>
  <c r="H33" i="17" s="1"/>
  <c r="H42" i="17" s="1"/>
  <c r="D24" i="28"/>
  <c r="D52" i="15"/>
  <c r="E37" i="16"/>
  <c r="E39" i="16" s="1"/>
  <c r="K27" i="16"/>
  <c r="I38" i="17"/>
  <c r="I34" i="12"/>
  <c r="L15" i="11"/>
  <c r="H13" i="15"/>
  <c r="E47" i="15"/>
  <c r="E50" i="15" s="1"/>
  <c r="G34" i="16"/>
  <c r="G35" i="16" s="1"/>
  <c r="L8" i="16"/>
  <c r="L12" i="16" s="1"/>
  <c r="E18" i="28"/>
  <c r="E24" i="28"/>
  <c r="G9" i="15"/>
  <c r="F13" i="33" s="1"/>
  <c r="H7" i="15"/>
  <c r="J38" i="17"/>
  <c r="L27" i="16"/>
  <c r="J34" i="12"/>
  <c r="E29" i="33"/>
  <c r="H6" i="30" l="1"/>
  <c r="H11" i="30" s="1"/>
  <c r="H15" i="30" s="1"/>
  <c r="H50" i="17"/>
  <c r="H55" i="17" s="1"/>
  <c r="I12" i="26"/>
  <c r="G12" i="28" s="1"/>
  <c r="G13" i="28" s="1"/>
  <c r="G16" i="28" s="1"/>
  <c r="G16" i="15"/>
  <c r="G19" i="15" s="1"/>
  <c r="F14" i="33" s="1"/>
  <c r="F16" i="33" s="1"/>
  <c r="F18" i="33" s="1"/>
  <c r="E30" i="33"/>
  <c r="E32" i="33" s="1"/>
  <c r="E34" i="33" s="1"/>
  <c r="E14" i="33"/>
  <c r="E16" i="33" s="1"/>
  <c r="E18" i="33" s="1"/>
  <c r="I18" i="15"/>
  <c r="G13" i="29"/>
  <c r="B26" i="17"/>
  <c r="H41" i="12"/>
  <c r="J4" i="26"/>
  <c r="J5" i="26" s="1"/>
  <c r="J13" i="26" s="1"/>
  <c r="H9" i="28" s="1"/>
  <c r="H10" i="28" s="1"/>
  <c r="G14" i="31"/>
  <c r="H5" i="29"/>
  <c r="H10" i="29" s="1"/>
  <c r="H23" i="29" s="1"/>
  <c r="H6" i="34"/>
  <c r="M17" i="34" s="1"/>
  <c r="M18" i="34" s="1"/>
  <c r="H3" i="17"/>
  <c r="H11" i="17" s="1"/>
  <c r="H15" i="17" s="1"/>
  <c r="B17" i="17" s="1"/>
  <c r="B22" i="17" s="1"/>
  <c r="H4" i="31"/>
  <c r="I30" i="17"/>
  <c r="J30" i="17"/>
  <c r="F24" i="28"/>
  <c r="I13" i="15"/>
  <c r="J13" i="15" s="1"/>
  <c r="K13" i="15" s="1"/>
  <c r="L13" i="15" s="1"/>
  <c r="J5" i="14"/>
  <c r="J9" i="14" s="1"/>
  <c r="J12" i="14" s="1"/>
  <c r="J35" i="12" s="1"/>
  <c r="L30" i="16" s="1"/>
  <c r="L32" i="16" s="1"/>
  <c r="L33" i="16" s="1"/>
  <c r="F47" i="15"/>
  <c r="F50" i="15" s="1"/>
  <c r="H34" i="16"/>
  <c r="H35" i="16" s="1"/>
  <c r="F37" i="16"/>
  <c r="F39" i="16" s="1"/>
  <c r="E52" i="15"/>
  <c r="K31" i="12"/>
  <c r="L21" i="15"/>
  <c r="M8" i="16" s="1"/>
  <c r="M12" i="16" s="1"/>
  <c r="I5" i="14"/>
  <c r="I9" i="14" s="1"/>
  <c r="I12" i="14" s="1"/>
  <c r="I35" i="12" s="1"/>
  <c r="K30" i="16" s="1"/>
  <c r="K32" i="16" s="1"/>
  <c r="K33" i="16" s="1"/>
  <c r="I7" i="15"/>
  <c r="H9" i="15"/>
  <c r="G13" i="33" s="1"/>
  <c r="F29" i="33"/>
  <c r="B24" i="17" l="1"/>
  <c r="B19" i="33"/>
  <c r="J12" i="26"/>
  <c r="H12" i="28" s="1"/>
  <c r="H13" i="28" s="1"/>
  <c r="H16" i="28" s="1"/>
  <c r="H18" i="28" s="1"/>
  <c r="G24" i="28"/>
  <c r="G18" i="28"/>
  <c r="G24" i="15"/>
  <c r="H16" i="15"/>
  <c r="H19" i="15" s="1"/>
  <c r="G14" i="33" s="1"/>
  <c r="G16" i="33" s="1"/>
  <c r="G18" i="33" s="1"/>
  <c r="F30" i="33"/>
  <c r="F32" i="33" s="1"/>
  <c r="F34" i="33" s="1"/>
  <c r="H13" i="29"/>
  <c r="I36" i="12"/>
  <c r="I29" i="17" s="1"/>
  <c r="I33" i="17" s="1"/>
  <c r="I42" i="17" s="1"/>
  <c r="J36" i="12"/>
  <c r="J29" i="17" s="1"/>
  <c r="J33" i="17" s="1"/>
  <c r="J42" i="17" s="1"/>
  <c r="G37" i="16"/>
  <c r="G39" i="16" s="1"/>
  <c r="F52" i="15"/>
  <c r="G29" i="33"/>
  <c r="I9" i="15"/>
  <c r="J7" i="15"/>
  <c r="M27" i="16"/>
  <c r="K38" i="17"/>
  <c r="K34" i="12"/>
  <c r="I34" i="16"/>
  <c r="I35" i="16" s="1"/>
  <c r="G47" i="15"/>
  <c r="G50" i="15" s="1"/>
  <c r="B19" i="28" l="1"/>
  <c r="B21" i="28" s="1"/>
  <c r="J18" i="15"/>
  <c r="J5" i="29"/>
  <c r="J10" i="29" s="1"/>
  <c r="J23" i="29" s="1"/>
  <c r="G30" i="33"/>
  <c r="G32" i="33" s="1"/>
  <c r="G34" i="33" s="1"/>
  <c r="B35" i="33" s="1"/>
  <c r="H24" i="15"/>
  <c r="J50" i="17"/>
  <c r="J55" i="17" s="1"/>
  <c r="I16" i="15"/>
  <c r="I19" i="15" s="1"/>
  <c r="I24" i="15" s="1"/>
  <c r="J6" i="34"/>
  <c r="H24" i="28"/>
  <c r="B22" i="28" s="1"/>
  <c r="J6" i="30"/>
  <c r="J11" i="30" s="1"/>
  <c r="J15" i="30" s="1"/>
  <c r="K18" i="15"/>
  <c r="I6" i="30"/>
  <c r="I11" i="30" s="1"/>
  <c r="I15" i="30" s="1"/>
  <c r="I6" i="34"/>
  <c r="M19" i="34" s="1"/>
  <c r="I50" i="17"/>
  <c r="I55" i="17" s="1"/>
  <c r="I41" i="12"/>
  <c r="J41" i="12" s="1"/>
  <c r="I5" i="29"/>
  <c r="I10" i="29" s="1"/>
  <c r="I13" i="29" s="1"/>
  <c r="K30" i="17"/>
  <c r="K5" i="14"/>
  <c r="K9" i="14" s="1"/>
  <c r="K12" i="14" s="1"/>
  <c r="K35" i="12" s="1"/>
  <c r="M30" i="16" s="1"/>
  <c r="M32" i="16" s="1"/>
  <c r="M33" i="16" s="1"/>
  <c r="J13" i="29"/>
  <c r="J9" i="15"/>
  <c r="K7" i="15"/>
  <c r="G52" i="15"/>
  <c r="H37" i="16"/>
  <c r="H39" i="16" s="1"/>
  <c r="J34" i="16"/>
  <c r="J35" i="16" s="1"/>
  <c r="H47" i="15"/>
  <c r="H50" i="15" s="1"/>
  <c r="J16" i="15" l="1"/>
  <c r="J19" i="15" s="1"/>
  <c r="K16" i="15" s="1"/>
  <c r="K19" i="15" s="1"/>
  <c r="I23" i="29"/>
  <c r="K36" i="12"/>
  <c r="K5" i="29" s="1"/>
  <c r="K10" i="29" s="1"/>
  <c r="L7" i="15"/>
  <c r="L9" i="15" s="1"/>
  <c r="K9" i="15"/>
  <c r="K34" i="16"/>
  <c r="K35" i="16" s="1"/>
  <c r="I47" i="15"/>
  <c r="I50" i="15" s="1"/>
  <c r="H52" i="15"/>
  <c r="I37" i="16"/>
  <c r="I39" i="16" s="1"/>
  <c r="J24" i="15" l="1"/>
  <c r="K50" i="17"/>
  <c r="K55" i="17" s="1"/>
  <c r="K29" i="17"/>
  <c r="K33" i="17" s="1"/>
  <c r="K42" i="17" s="1"/>
  <c r="B44" i="17" s="1"/>
  <c r="K6" i="30"/>
  <c r="K11" i="30" s="1"/>
  <c r="K15" i="30" s="1"/>
  <c r="B17" i="30" s="1"/>
  <c r="B21" i="30" s="1"/>
  <c r="K6" i="34"/>
  <c r="B8" i="34" s="1"/>
  <c r="B15" i="34" s="1"/>
  <c r="K41" i="12"/>
  <c r="L18" i="15"/>
  <c r="J37" i="16"/>
  <c r="J39" i="16" s="1"/>
  <c r="I52" i="15"/>
  <c r="K23" i="29"/>
  <c r="B24" i="29" s="1"/>
  <c r="K13" i="29"/>
  <c r="B14" i="29" s="1"/>
  <c r="L34" i="16"/>
  <c r="L35" i="16" s="1"/>
  <c r="J47" i="15"/>
  <c r="J50" i="15" s="1"/>
  <c r="L16" i="15"/>
  <c r="K24" i="15"/>
  <c r="B11" i="34" l="1"/>
  <c r="B25" i="30"/>
  <c r="L19" i="15"/>
  <c r="L24" i="15" s="1"/>
  <c r="K37" i="16"/>
  <c r="K39" i="16" s="1"/>
  <c r="J52" i="15"/>
  <c r="M34" i="16"/>
  <c r="M35" i="16" s="1"/>
  <c r="K47" i="15"/>
  <c r="K50" i="15" s="1"/>
  <c r="L47" i="15" l="1"/>
  <c r="L50" i="15" s="1"/>
  <c r="K52" i="15"/>
  <c r="L37" i="16"/>
  <c r="L39" i="16" s="1"/>
  <c r="L52" i="15" l="1"/>
  <c r="M37" i="16"/>
  <c r="M39" i="16" s="1"/>
  <c r="B21" i="4"/>
  <c r="C19" i="18"/>
</calcChain>
</file>

<file path=xl/sharedStrings.xml><?xml version="1.0" encoding="utf-8"?>
<sst xmlns="http://schemas.openxmlformats.org/spreadsheetml/2006/main" count="1251" uniqueCount="656">
  <si>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</si>
  <si>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</si>
  <si>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</si>
  <si>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</si>
  <si>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</si>
  <si>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</si>
  <si>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</si>
  <si>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</si>
  <si>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</si>
  <si>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</si>
  <si>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</si>
  <si>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</si>
  <si>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</si>
  <si>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</si>
  <si>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</si>
  <si>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</si>
  <si>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</si>
  <si>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</si>
  <si>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</si>
  <si>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</si>
  <si>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</si>
  <si>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</si>
  <si>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</si>
  <si>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</si>
  <si>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</si>
  <si>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</si>
  <si>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</si>
  <si>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</si>
  <si>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</si>
  <si>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</si>
  <si>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</si>
  <si>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</si>
  <si>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</si>
  <si>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</si>
  <si>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</si>
  <si>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</si>
  <si>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</si>
  <si>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</si>
  <si>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</si>
  <si>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</si>
  <si>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</si>
  <si>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</si>
  <si>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</si>
  <si>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</si>
  <si>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</si>
  <si>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</si>
  <si>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</si>
  <si>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</si>
  <si>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</si>
  <si>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</si>
  <si>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</si>
  <si>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</si>
  <si>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</si>
  <si>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</si>
  <si>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</si>
  <si>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</si>
  <si>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</si>
  <si>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</si>
  <si>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</si>
  <si>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</si>
  <si>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</si>
  <si>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</si>
  <si>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</si>
  <si>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</si>
  <si>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2 TPH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</si>
  <si>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</si>
  <si>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</si>
  <si>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</si>
  <si>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</si>
  <si>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</si>
  <si>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</si>
  <si>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</si>
  <si>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</si>
  <si>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</si>
  <si>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</si>
  <si>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</si>
  <si>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</si>
  <si>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</si>
  <si>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Finished Goods (MT)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</si>
  <si>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</si>
  <si>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</si>
  <si>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</si>
  <si>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</si>
  <si>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</si>
  <si>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</si>
  <si>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</si>
  <si>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</si>
  <si>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</si>
  <si>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</si>
  <si>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</si>
  <si>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</si>
  <si>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</si>
  <si>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</si>
  <si>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</si>
  <si>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</si>
  <si>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</si>
  <si>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</si>
  <si>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</si>
  <si>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</si>
  <si>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</si>
  <si>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</si>
  <si>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</si>
  <si>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</si>
  <si>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</si>
  <si>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</si>
  <si>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</si>
  <si>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</si>
  <si>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</si>
  <si>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</si>
  <si>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</si>
  <si>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</si>
  <si>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</si>
  <si>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</si>
  <si>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</si>
  <si>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</si>
  <si>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</si>
  <si>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</si>
  <si>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</si>
  <si>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</si>
  <si>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</si>
  <si>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</si>
  <si>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</si>
  <si>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</si>
  <si>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</si>
  <si>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</si>
  <si>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</si>
  <si>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</si>
  <si>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</si>
  <si>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</si>
  <si>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</si>
  <si>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</si>
  <si>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</si>
  <si>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</si>
  <si>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</si>
  <si>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</si>
  <si>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</si>
  <si>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</si>
  <si>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</si>
  <si>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</si>
  <si>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</si>
  <si>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</si>
  <si>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</si>
  <si>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</si>
  <si>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</si>
  <si>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</si>
  <si>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</si>
  <si>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</si>
  <si>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Wax and Other consumables</t>
  </si>
  <si>
    <t>1000/ton</t>
  </si>
  <si>
    <t>Packaging Material</t>
  </si>
  <si>
    <t>Provided by buyer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</si>
  <si>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</si>
  <si>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</si>
  <si>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</si>
  <si>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</si>
  <si>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</si>
  <si>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300/ton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</si>
  <si>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</si>
  <si>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</si>
  <si>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</si>
  <si>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</si>
  <si>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</si>
  <si>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</si>
  <si>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</si>
  <si>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</si>
  <si>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Captive Operations Grade Output (MT)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</si>
  <si>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</si>
  <si>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</si>
  <si>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</si>
  <si>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</si>
  <si>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</si>
  <si>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</si>
  <si>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</si>
  <si>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</si>
  <si>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</si>
  <si>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</si>
  <si>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</si>
  <si>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</si>
  <si>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</si>
  <si>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</si>
  <si>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</si>
  <si>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</si>
  <si>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</si>
  <si>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</si>
  <si>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</si>
  <si>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</si>
  <si>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</si>
  <si>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</si>
  <si>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</si>
  <si>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</si>
  <si>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</si>
  <si>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</si>
  <si>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</si>
  <si>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</si>
  <si>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</si>
  <si>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</si>
  <si>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</si>
  <si>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</si>
  <si>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</si>
  <si>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</si>
  <si>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</si>
  <si>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</si>
  <si>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</si>
  <si>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</si>
  <si>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</si>
  <si>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</si>
  <si>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</si>
  <si>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</si>
  <si>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</si>
  <si>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</si>
  <si>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</si>
  <si>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</si>
  <si>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</si>
  <si>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</si>
  <si>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</si>
  <si>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</si>
  <si>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</si>
  <si>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</si>
  <si>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</si>
  <si>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</si>
  <si>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</si>
  <si>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</si>
  <si>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</si>
  <si>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</si>
  <si>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</si>
  <si>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</si>
  <si>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</si>
  <si>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</si>
  <si>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</si>
  <si>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</si>
  <si>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</si>
  <si>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</si>
  <si>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</si>
  <si>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</si>
  <si>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</si>
  <si>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</si>
  <si>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</si>
  <si>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</si>
  <si>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</si>
  <si>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</si>
  <si>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</si>
  <si>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</si>
  <si>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</si>
  <si>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</si>
  <si>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</si>
  <si>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</si>
  <si>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</si>
  <si>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</si>
  <si>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</si>
  <si>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</si>
  <si>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</si>
  <si>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</si>
  <si>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</si>
  <si>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</si>
  <si>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</si>
  <si>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</si>
  <si>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</si>
  <si>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</si>
  <si>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</si>
  <si>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</si>
  <si>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</si>
  <si>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</si>
  <si>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</si>
  <si>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</si>
  <si>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</si>
  <si>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</si>
  <si>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</si>
  <si>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</si>
  <si>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</si>
  <si>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</si>
  <si>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</si>
  <si>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</si>
  <si>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</si>
  <si>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</si>
  <si>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</si>
  <si>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</si>
  <si>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</si>
  <si>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</si>
  <si>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</si>
  <si>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</si>
  <si>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</si>
  <si>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</si>
  <si>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</si>
  <si>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</si>
  <si>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</si>
  <si>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</si>
  <si>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</si>
  <si>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</si>
  <si>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</si>
  <si>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</si>
  <si>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</si>
  <si>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</si>
  <si>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</si>
  <si>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</si>
  <si>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</si>
  <si>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</si>
  <si>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</si>
  <si>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</si>
  <si>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</si>
  <si>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</si>
  <si>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</si>
  <si>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</si>
  <si>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</si>
  <si>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</si>
  <si>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</si>
  <si>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</si>
  <si>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</si>
  <si>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</si>
  <si>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</si>
  <si>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</si>
  <si>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</si>
  <si>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</si>
  <si>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</si>
  <si>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</si>
  <si>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</si>
  <si>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</si>
  <si>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</si>
  <si>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</si>
  <si>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</si>
  <si>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</si>
  <si>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</si>
  <si>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</si>
  <si>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</si>
  <si>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</si>
  <si>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 xml:space="preserve">Sr. 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</si>
  <si>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</si>
  <si>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</si>
  <si>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</si>
  <si>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</si>
  <si>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</si>
  <si>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</si>
  <si>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</si>
  <si>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</si>
  <si>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</si>
  <si>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</si>
  <si>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</si>
  <si>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</si>
  <si>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</si>
  <si>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</si>
  <si>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</si>
  <si>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</si>
  <si>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</si>
  <si>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</si>
  <si>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</si>
  <si>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</si>
  <si>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</si>
  <si>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</si>
  <si>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</si>
  <si>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</si>
  <si>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</si>
  <si>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</si>
  <si>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</si>
  <si>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</si>
  <si>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</si>
  <si>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</si>
  <si>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</si>
  <si>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</si>
  <si>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</si>
  <si>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</si>
  <si>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</si>
  <si>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</si>
  <si>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</si>
  <si>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</si>
  <si>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</si>
  <si>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</si>
  <si>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</si>
  <si>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</si>
  <si>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</si>
  <si>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</si>
  <si>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</si>
  <si>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</si>
  <si>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</si>
  <si>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</si>
  <si>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</si>
  <si>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</si>
  <si>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</si>
  <si>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</si>
  <si>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</si>
  <si>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</si>
  <si>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</si>
  <si>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</si>
  <si>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Grade Output 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</si>
  <si>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</si>
  <si>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</si>
  <si>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</si>
  <si>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</si>
  <si>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</si>
  <si>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</si>
  <si>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</si>
  <si>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</si>
  <si>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</si>
  <si>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</si>
  <si>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</si>
  <si>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</si>
  <si>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</si>
  <si>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</si>
  <si>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</si>
  <si>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</si>
  <si>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</si>
  <si>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</si>
  <si>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</si>
  <si>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Pomegranate - Small Pack house</t>
  </si>
  <si>
    <t>Sr.No.</t>
  </si>
  <si>
    <t>ITEM</t>
  </si>
  <si>
    <t>ESTIMATE in Lakh INR</t>
  </si>
  <si>
    <t>CIVIL WORKS</t>
  </si>
  <si>
    <t>Main Building including plinth &amp; PEB</t>
  </si>
  <si>
    <t>Site developing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</si>
  <si>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</si>
  <si>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</si>
  <si>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</si>
  <si>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</si>
  <si>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</si>
  <si>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</si>
  <si>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</si>
  <si>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</si>
  <si>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</si>
  <si>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</si>
  <si>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</si>
  <si>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</si>
  <si>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</si>
  <si>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</si>
  <si>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</si>
  <si>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</si>
  <si>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</si>
  <si>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</si>
  <si>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</si>
  <si>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</si>
  <si>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</si>
  <si>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</si>
  <si>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Revenue- Custom Hiring</t>
  </si>
  <si>
    <t>S.No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</si>
  <si>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</si>
  <si>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</si>
  <si>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</si>
  <si>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</si>
  <si>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</si>
  <si>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</si>
  <si>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</si>
  <si>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</si>
  <si>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</si>
  <si>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</si>
  <si>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</si>
  <si>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</si>
  <si>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</si>
  <si>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</si>
  <si>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</si>
  <si>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</si>
  <si>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</si>
  <si>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</si>
  <si>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</si>
  <si>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</si>
  <si>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</si>
  <si>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</si>
  <si>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</si>
  <si>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</si>
  <si>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</si>
  <si>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</si>
  <si>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</si>
  <si>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</si>
  <si>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</si>
  <si>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</si>
  <si>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</si>
  <si>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</si>
  <si>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</si>
  <si>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</si>
  <si>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</si>
  <si>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</si>
  <si>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</si>
  <si>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</si>
  <si>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</si>
  <si>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</si>
  <si>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</si>
  <si>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</si>
  <si>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</si>
  <si>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</si>
  <si>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</si>
  <si>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</si>
  <si>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</si>
  <si>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</si>
  <si>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</si>
  <si>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</si>
  <si>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</si>
  <si>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</si>
  <si>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</si>
  <si>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</si>
  <si>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</si>
  <si>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</si>
  <si>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</si>
  <si>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</si>
  <si>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</si>
  <si>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</si>
  <si>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</si>
  <si>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</si>
  <si>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</si>
  <si>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</si>
  <si>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</si>
  <si>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</si>
  <si>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</si>
  <si>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</si>
  <si>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</si>
  <si>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</si>
  <si>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</si>
  <si>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</si>
  <si>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</si>
  <si>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</si>
  <si>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</si>
  <si>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</si>
  <si>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</si>
  <si>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</si>
  <si>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</si>
  <si>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</si>
  <si>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</si>
  <si>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</si>
  <si>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</si>
  <si>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</si>
  <si>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</si>
  <si>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</si>
  <si>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</si>
  <si>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</si>
  <si>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</si>
  <si>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</si>
  <si>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</si>
  <si>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</si>
  <si>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</si>
  <si>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</si>
  <si>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</si>
  <si>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</si>
  <si>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</si>
  <si>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</si>
  <si>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</si>
  <si>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</si>
  <si>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</si>
  <si>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</si>
  <si>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</si>
  <si>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</si>
  <si>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</si>
  <si>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</si>
  <si>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</si>
  <si>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</si>
  <si>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</si>
  <si>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</si>
  <si>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</si>
  <si>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</si>
  <si>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</si>
  <si>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</si>
  <si>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</si>
  <si>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</si>
  <si>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</si>
  <si>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</si>
  <si>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</si>
  <si>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</si>
  <si>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</si>
  <si>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</si>
  <si>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</si>
  <si>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</si>
  <si>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</si>
  <si>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</si>
  <si>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</si>
  <si>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</si>
  <si>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</si>
  <si>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</si>
  <si>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</si>
  <si>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</si>
  <si>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</si>
  <si>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White wash to internal / external wall surfaces</t>
  </si>
  <si>
    <t>Silky Polisher</t>
  </si>
  <si>
    <t>Length Grader</t>
  </si>
  <si>
    <t>Pre Cleaner</t>
  </si>
  <si>
    <t>Rice discharger with all accessories</t>
  </si>
  <si>
    <t>Destoner Machine</t>
  </si>
  <si>
    <t>Office table</t>
  </si>
  <si>
    <t>Chairs</t>
  </si>
  <si>
    <t>Computer</t>
  </si>
  <si>
    <t>Printer</t>
  </si>
  <si>
    <t>UPS</t>
  </si>
  <si>
    <t>TOTAL (1+2+3+4+5)</t>
  </si>
  <si>
    <t>IT INFRASTRUCTURE</t>
  </si>
  <si>
    <t>PRELIMINARY &amp; PREOPERATIVE EXP</t>
  </si>
  <si>
    <t>Rice silky polisher</t>
  </si>
  <si>
    <t>60% reserved for JW Services</t>
  </si>
  <si>
    <t>40% reserved for Captive operations</t>
  </si>
  <si>
    <t>Total Input (Rice Polishing) (MT)</t>
  </si>
  <si>
    <t>Polished Rice</t>
  </si>
  <si>
    <t>Broken</t>
  </si>
  <si>
    <t>Rice processed per day (MT)</t>
  </si>
  <si>
    <t>Rice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</si>
  <si>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</si>
  <si>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</si>
  <si>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</si>
  <si>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</si>
  <si>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</si>
  <si>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</si>
  <si>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</si>
  <si>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</si>
  <si>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</si>
  <si>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</si>
  <si>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</si>
  <si>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</si>
  <si>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</si>
  <si>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</si>
  <si>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</si>
  <si>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</si>
  <si>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</si>
  <si>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</si>
  <si>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</si>
  <si>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</si>
  <si>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</si>
  <si>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</si>
  <si>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Polishing &amp; Grading Section (including)</t>
  </si>
  <si>
    <t>G</t>
  </si>
  <si>
    <t>Weighing Scale (150 KG Capacity)</t>
  </si>
  <si>
    <t>Automatic Sewing Machine</t>
  </si>
  <si>
    <t>Flooring and minor fixtures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</si>
  <si>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</si>
  <si>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</si>
  <si>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</si>
  <si>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</si>
  <si>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</si>
  <si>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</si>
  <si>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</si>
  <si>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>Total Input (Rice) (MT)</t>
  </si>
  <si>
    <t>70 KVA (Power chart)</t>
  </si>
  <si>
    <t>Raw Jari</t>
  </si>
  <si>
    <t>Powder</t>
  </si>
  <si>
    <t>Rice polishing (in Rs. Per MT)</t>
  </si>
  <si>
    <t xml:space="preserve">Rice </t>
  </si>
  <si>
    <t>50% capacity reserved</t>
  </si>
  <si>
    <t>with grant</t>
  </si>
  <si>
    <t>without grant</t>
  </si>
  <si>
    <t>Revenue- Service Charges for Rice Polishing</t>
  </si>
  <si>
    <t>W.C Loan (unsecured loan from Directors)</t>
  </si>
  <si>
    <t>none</t>
  </si>
  <si>
    <t>Rent for Land</t>
  </si>
  <si>
    <t>Members</t>
  </si>
  <si>
    <t>Non-Members</t>
  </si>
  <si>
    <t>Services Users and RM Sellers</t>
  </si>
  <si>
    <t>Production- Paddy (MT)</t>
  </si>
  <si>
    <t>Total Production (Paddy)</t>
  </si>
  <si>
    <t>Thus, Rice Production (approx)</t>
  </si>
  <si>
    <t>Marketable Surplus - Rice (70%)</t>
  </si>
  <si>
    <t>Income Tax 30%</t>
  </si>
  <si>
    <t>Present Value Equivalent @ 18.51%</t>
  </si>
  <si>
    <t>Present Value Equivalent @ 41.6%</t>
  </si>
  <si>
    <t>Requirement of Project (MT)</t>
  </si>
  <si>
    <r>
      <t xml:space="preserve">Civil area for godown (104.63 sqm- </t>
    </r>
    <r>
      <rPr>
        <sz val="11"/>
        <color rgb="FFFF0000"/>
        <rFont val="Garamond"/>
        <family val="1"/>
      </rPr>
      <t>1550 MT)</t>
    </r>
  </si>
  <si>
    <t>2200 p.m.</t>
  </si>
  <si>
    <t>1200 p.m.</t>
  </si>
  <si>
    <t xml:space="preserve">800 p.m. </t>
  </si>
  <si>
    <t>3200 p.m.</t>
  </si>
  <si>
    <t>6000 p.m.</t>
  </si>
  <si>
    <t>3500 p.m.</t>
  </si>
  <si>
    <t>7 Yrs 3 month</t>
  </si>
  <si>
    <t>Loss C/f</t>
  </si>
  <si>
    <t>Loss B/f</t>
  </si>
  <si>
    <t>4 Years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</si>
</sst>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Garamond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164" fontId="9" fillId="0" borderId="1" xfId="1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4" fontId="13" fillId="0" borderId="0" xfId="1" applyFont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3" fillId="0" borderId="0" xfId="0" applyNumberFormat="1" applyFont="1" applyAlignment="1">
      <alignment wrapText="1"/>
    </xf>
    <xf numFmtId="164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4" fontId="4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/>
    <xf numFmtId="164" fontId="9" fillId="0" borderId="1" xfId="1" applyFont="1" applyFill="1" applyBorder="1"/>
    <xf numFmtId="0" fontId="18" fillId="0" borderId="1" xfId="0" applyFont="1" applyFill="1" applyBorder="1"/>
    <xf numFmtId="164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43" fontId="4" fillId="0" borderId="0" xfId="0" applyNumberFormat="1" applyFont="1" applyFill="1"/>
    <xf numFmtId="2" fontId="4" fillId="0" borderId="0" xfId="0" applyNumberFormat="1" applyFont="1" applyFill="1"/>
    <xf numFmtId="43" fontId="4" fillId="0" borderId="1" xfId="0" applyNumberFormat="1" applyFont="1" applyFill="1" applyBorder="1"/>
    <xf numFmtId="164" fontId="9" fillId="0" borderId="0" xfId="1" applyFont="1" applyFill="1" applyBorder="1"/>
    <xf numFmtId="164" fontId="4" fillId="0" borderId="0" xfId="0" applyNumberFormat="1" applyFont="1" applyFill="1"/>
    <xf numFmtId="164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164" fontId="20" fillId="0" borderId="1" xfId="1" applyFont="1" applyFill="1" applyBorder="1" applyAlignment="1">
      <alignment horizontal="right" wrapText="1"/>
    </xf>
    <xf numFmtId="164" fontId="20" fillId="0" borderId="1" xfId="1" applyFont="1" applyFill="1" applyBorder="1" applyAlignment="1">
      <alignment wrapText="1"/>
    </xf>
    <xf numFmtId="164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164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164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164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166" fontId="9" fillId="0" borderId="1" xfId="0" applyNumberFormat="1" applyFont="1" applyBorder="1" applyAlignment="1">
      <alignment horizontal="right"/>
    </xf>
    <xf numFmtId="0" fontId="0" fillId="0" borderId="1" xfId="0" applyFill="1" applyBorder="1"/>
    <xf numFmtId="9" fontId="2" fillId="0" borderId="1" xfId="0" applyNumberFormat="1" applyFont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0" xfId="0" applyFont="1" applyAlignment="1">
      <alignment wrapText="1"/>
    </xf>
    <xf numFmtId="1" fontId="27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2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0" fontId="29" fillId="0" borderId="19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165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39"/>
  <sheetViews>
    <sheetView tabSelected="1" view="pageBreakPreview" topLeftCell="A17" zoomScale="85" zoomScaleNormal="100" zoomScaleSheetLayoutView="85" workbookViewId="0">
      <selection activeCell="C31" sqref="C31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16384" width="9.140625" style="1"/>
  </cols>
  <sheetData>
    <row r="6" spans="1:12" ht="30" x14ac:dyDescent="0.25">
      <c r="A6" s="142" t="s">
        <v>402</v>
      </c>
      <c r="B6" s="142" t="s">
        <v>403</v>
      </c>
      <c r="C6" s="143" t="s">
        <v>404</v>
      </c>
    </row>
    <row r="7" spans="1:12" ht="15.75" thickBot="1" x14ac:dyDescent="0.3">
      <c r="A7" s="142">
        <v>1</v>
      </c>
      <c r="B7" s="144" t="s">
        <v>405</v>
      </c>
      <c r="C7" s="265">
        <f>(2000000+5185000)/100000</f>
        <v>71.849999999999994</v>
      </c>
    </row>
    <row r="8" spans="1:12" ht="15.75" thickBot="1" x14ac:dyDescent="0.3">
      <c r="A8" s="145"/>
      <c r="B8" s="146" t="s">
        <v>645</v>
      </c>
      <c r="C8" s="281"/>
      <c r="I8" s="333">
        <v>4.05</v>
      </c>
    </row>
    <row r="9" spans="1:12" ht="15.75" thickBot="1" x14ac:dyDescent="0.3">
      <c r="A9" s="145" t="s">
        <v>79</v>
      </c>
      <c r="B9" s="147" t="s">
        <v>406</v>
      </c>
      <c r="C9" s="281"/>
      <c r="I9" s="334">
        <v>0.15</v>
      </c>
    </row>
    <row r="10" spans="1:12" ht="15.75" thickBot="1" x14ac:dyDescent="0.3">
      <c r="A10" s="145" t="s">
        <v>84</v>
      </c>
      <c r="B10" s="147" t="s">
        <v>407</v>
      </c>
      <c r="C10" s="281"/>
      <c r="I10" s="334">
        <v>1.45</v>
      </c>
    </row>
    <row r="11" spans="1:12" ht="15.75" thickBot="1" x14ac:dyDescent="0.3">
      <c r="A11" s="145" t="s">
        <v>85</v>
      </c>
      <c r="B11" s="147" t="s">
        <v>613</v>
      </c>
      <c r="C11" s="281"/>
      <c r="I11" s="334">
        <v>2.31</v>
      </c>
    </row>
    <row r="12" spans="1:12" ht="15.75" thickBot="1" x14ac:dyDescent="0.3">
      <c r="A12" s="145" t="s">
        <v>408</v>
      </c>
      <c r="B12" s="147" t="s">
        <v>565</v>
      </c>
      <c r="C12" s="281"/>
      <c r="I12" s="334">
        <v>3.55</v>
      </c>
      <c r="L12" s="38"/>
    </row>
    <row r="13" spans="1:12" ht="15.75" thickBot="1" x14ac:dyDescent="0.3">
      <c r="A13" s="142">
        <v>2</v>
      </c>
      <c r="B13" s="144" t="s">
        <v>609</v>
      </c>
      <c r="C13" s="265">
        <f>((405000+15000+145000+231000+355000+115000+207000+12000+18000+12000)/100000)</f>
        <v>15.15</v>
      </c>
      <c r="I13" s="334">
        <v>1.1499999999999999</v>
      </c>
      <c r="L13" s="38"/>
    </row>
    <row r="14" spans="1:12" ht="15.75" thickBot="1" x14ac:dyDescent="0.3">
      <c r="A14" s="145" t="s">
        <v>79</v>
      </c>
      <c r="B14" s="147" t="s">
        <v>566</v>
      </c>
      <c r="C14" s="282"/>
      <c r="I14" s="335">
        <v>2.0699999999999998</v>
      </c>
      <c r="L14" s="38"/>
    </row>
    <row r="15" spans="1:12" ht="15.75" thickBot="1" x14ac:dyDescent="0.3">
      <c r="A15" s="145" t="s">
        <v>84</v>
      </c>
      <c r="B15" s="147" t="s">
        <v>567</v>
      </c>
      <c r="C15" s="283"/>
      <c r="I15" s="335">
        <v>0.12</v>
      </c>
      <c r="L15" s="38"/>
    </row>
    <row r="16" spans="1:12" ht="15.75" thickBot="1" x14ac:dyDescent="0.3">
      <c r="A16" s="145" t="s">
        <v>85</v>
      </c>
      <c r="B16" s="6" t="s">
        <v>568</v>
      </c>
      <c r="C16" s="283"/>
      <c r="I16" s="335">
        <v>0.18</v>
      </c>
    </row>
    <row r="17" spans="1:9" ht="15.75" thickBot="1" x14ac:dyDescent="0.3">
      <c r="A17" s="145" t="s">
        <v>408</v>
      </c>
      <c r="B17" s="6" t="s">
        <v>569</v>
      </c>
      <c r="C17" s="283"/>
      <c r="I17" s="335">
        <v>0.12</v>
      </c>
    </row>
    <row r="18" spans="1:9" x14ac:dyDescent="0.25">
      <c r="A18" s="145" t="s">
        <v>409</v>
      </c>
      <c r="B18" s="6" t="s">
        <v>570</v>
      </c>
      <c r="C18" s="283"/>
    </row>
    <row r="19" spans="1:9" x14ac:dyDescent="0.25">
      <c r="A19" s="254" t="s">
        <v>410</v>
      </c>
      <c r="B19" s="6" t="s">
        <v>611</v>
      </c>
      <c r="C19" s="283"/>
    </row>
    <row r="20" spans="1:9" x14ac:dyDescent="0.25">
      <c r="A20" s="254" t="s">
        <v>610</v>
      </c>
      <c r="B20" s="6" t="s">
        <v>612</v>
      </c>
      <c r="C20" s="284"/>
    </row>
    <row r="21" spans="1:9" x14ac:dyDescent="0.25">
      <c r="A21" s="142">
        <v>3</v>
      </c>
      <c r="B21" s="144" t="s">
        <v>614</v>
      </c>
      <c r="C21" s="265">
        <v>0</v>
      </c>
    </row>
    <row r="22" spans="1:9" x14ac:dyDescent="0.25">
      <c r="A22" s="145" t="s">
        <v>79</v>
      </c>
      <c r="B22" s="147" t="s">
        <v>571</v>
      </c>
      <c r="C22" s="281"/>
    </row>
    <row r="23" spans="1:9" x14ac:dyDescent="0.25">
      <c r="A23" s="145" t="s">
        <v>84</v>
      </c>
      <c r="B23" s="147" t="s">
        <v>572</v>
      </c>
      <c r="C23" s="281"/>
    </row>
    <row r="24" spans="1:9" x14ac:dyDescent="0.25">
      <c r="A24" s="142">
        <v>4</v>
      </c>
      <c r="B24" s="144" t="s">
        <v>577</v>
      </c>
      <c r="C24" s="265">
        <v>0</v>
      </c>
    </row>
    <row r="25" spans="1:9" x14ac:dyDescent="0.25">
      <c r="A25" s="43" t="s">
        <v>79</v>
      </c>
      <c r="B25" s="147" t="s">
        <v>573</v>
      </c>
      <c r="C25" s="282"/>
    </row>
    <row r="26" spans="1:9" x14ac:dyDescent="0.25">
      <c r="A26" s="43" t="s">
        <v>84</v>
      </c>
      <c r="B26" s="147" t="s">
        <v>574</v>
      </c>
      <c r="C26" s="283"/>
    </row>
    <row r="27" spans="1:9" x14ac:dyDescent="0.25">
      <c r="A27" s="43" t="s">
        <v>85</v>
      </c>
      <c r="B27" s="147" t="s">
        <v>575</v>
      </c>
      <c r="C27" s="284"/>
    </row>
    <row r="28" spans="1:9" x14ac:dyDescent="0.25">
      <c r="A28" s="142">
        <v>5</v>
      </c>
      <c r="B28" s="144" t="s">
        <v>578</v>
      </c>
      <c r="C28" s="265">
        <v>4.3499999999999996</v>
      </c>
    </row>
    <row r="29" spans="1:9" x14ac:dyDescent="0.25">
      <c r="A29" s="145"/>
      <c r="B29" s="148" t="s">
        <v>576</v>
      </c>
      <c r="C29" s="265">
        <f>SUM(C7,C13,C21,C24,C28)</f>
        <v>91.35</v>
      </c>
    </row>
    <row r="30" spans="1:9" x14ac:dyDescent="0.25">
      <c r="A30" s="149"/>
      <c r="B30" s="150"/>
      <c r="C30" s="151"/>
    </row>
    <row r="31" spans="1:9" x14ac:dyDescent="0.25">
      <c r="A31" s="149"/>
      <c r="B31" s="152" t="s">
        <v>615</v>
      </c>
      <c r="C31" s="278">
        <f>+'WC Assessment'!C13</f>
        <v>5.7935575000000039</v>
      </c>
    </row>
    <row r="32" spans="1:9" x14ac:dyDescent="0.25">
      <c r="A32" s="279"/>
      <c r="B32" s="280"/>
      <c r="C32" s="153"/>
    </row>
    <row r="33" spans="1:3" x14ac:dyDescent="0.25">
      <c r="A33" s="142"/>
      <c r="B33" s="154"/>
      <c r="C33" s="142"/>
    </row>
    <row r="34" spans="1:3" x14ac:dyDescent="0.25">
      <c r="A34" s="155"/>
      <c r="B34" s="156"/>
      <c r="C34" s="155"/>
    </row>
    <row r="35" spans="1:3" x14ac:dyDescent="0.25">
      <c r="A35" s="157"/>
      <c r="B35" s="158"/>
      <c r="C35" s="157"/>
    </row>
    <row r="36" spans="1:3" x14ac:dyDescent="0.25">
      <c r="A36" s="155"/>
      <c r="B36" s="159"/>
      <c r="C36" s="155"/>
    </row>
    <row r="37" spans="1:3" x14ac:dyDescent="0.25">
      <c r="A37" s="155"/>
      <c r="B37" s="160"/>
      <c r="C37" s="161"/>
    </row>
    <row r="38" spans="1:3" x14ac:dyDescent="0.25">
      <c r="A38" s="23"/>
      <c r="B38" s="23"/>
      <c r="C38" s="23"/>
    </row>
    <row r="39" spans="1:3" x14ac:dyDescent="0.25">
      <c r="A39" s="23"/>
      <c r="B39" s="141"/>
      <c r="C39" s="23"/>
    </row>
  </sheetData>
  <mergeCells count="5">
    <mergeCell ref="A32:B32"/>
    <mergeCell ref="C8:C12"/>
    <mergeCell ref="C22:C23"/>
    <mergeCell ref="C25:C27"/>
    <mergeCell ref="C14:C20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view="pageBreakPreview" topLeftCell="A35" zoomScale="60" zoomScaleNormal="100" workbookViewId="0">
      <selection activeCell="C7" sqref="C7"/>
    </sheetView>
  </sheetViews>
  <sheetFormatPr defaultRowHeight="15" x14ac:dyDescent="0.25"/>
  <cols>
    <col min="1" max="1" width="4" style="1" bestFit="1" customWidth="1"/>
    <col min="2" max="2" width="44.85546875" style="1" bestFit="1" customWidth="1"/>
    <col min="3" max="8" width="12.28515625" style="1" bestFit="1" customWidth="1"/>
    <col min="9" max="9" width="11.85546875" style="1" bestFit="1" customWidth="1"/>
    <col min="10" max="12" width="12.28515625" style="1" bestFit="1" customWidth="1"/>
    <col min="13" max="16384" width="9.140625" style="1"/>
  </cols>
  <sheetData>
    <row r="2" spans="1:12" x14ac:dyDescent="0.25">
      <c r="A2" s="46" t="s">
        <v>77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22" t="s">
        <v>42</v>
      </c>
      <c r="J2" s="222" t="s">
        <v>502</v>
      </c>
      <c r="K2" s="222" t="s">
        <v>503</v>
      </c>
      <c r="L2" s="222" t="s">
        <v>504</v>
      </c>
    </row>
    <row r="3" spans="1:12" x14ac:dyDescent="0.25">
      <c r="A3" s="43"/>
      <c r="B3" s="26" t="s">
        <v>78</v>
      </c>
      <c r="C3" s="27"/>
      <c r="D3" s="27"/>
      <c r="E3" s="27"/>
      <c r="F3" s="27"/>
      <c r="G3" s="27"/>
      <c r="H3" s="27"/>
      <c r="I3" s="220"/>
      <c r="J3" s="6"/>
      <c r="K3" s="6"/>
      <c r="L3" s="6"/>
    </row>
    <row r="4" spans="1:12" x14ac:dyDescent="0.25">
      <c r="A4" s="7" t="s">
        <v>79</v>
      </c>
      <c r="B4" s="26" t="str">
        <f>'Output Schedule'!A27</f>
        <v>Polished Rice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80</v>
      </c>
      <c r="C5" s="36">
        <f>0</f>
        <v>0</v>
      </c>
      <c r="D5" s="36">
        <f>C8</f>
        <v>53</v>
      </c>
      <c r="E5" s="36">
        <f>D8</f>
        <v>58</v>
      </c>
      <c r="F5" s="36">
        <f>E8</f>
        <v>64</v>
      </c>
      <c r="G5" s="36">
        <f>F8</f>
        <v>70</v>
      </c>
      <c r="H5" s="36">
        <f t="shared" ref="H5:I5" si="0">G8</f>
        <v>76</v>
      </c>
      <c r="I5" s="36">
        <f t="shared" si="0"/>
        <v>82</v>
      </c>
      <c r="J5" s="36">
        <f t="shared" ref="J5" si="1">I8</f>
        <v>88</v>
      </c>
      <c r="K5" s="36">
        <f t="shared" ref="K5" si="2">J8</f>
        <v>88</v>
      </c>
      <c r="L5" s="36">
        <f t="shared" ref="L5" si="3">K8</f>
        <v>94</v>
      </c>
    </row>
    <row r="6" spans="1:12" x14ac:dyDescent="0.25">
      <c r="A6" s="43"/>
      <c r="B6" s="36" t="s">
        <v>81</v>
      </c>
      <c r="C6" s="37">
        <f>'Output Schedule'!B27</f>
        <v>1262</v>
      </c>
      <c r="D6" s="37">
        <f>'Output Schedule'!C27</f>
        <v>1403</v>
      </c>
      <c r="E6" s="37">
        <f>'Output Schedule'!D27</f>
        <v>1543</v>
      </c>
      <c r="F6" s="37">
        <f>'Output Schedule'!E27</f>
        <v>1683</v>
      </c>
      <c r="G6" s="37">
        <f>'Output Schedule'!F27</f>
        <v>1823</v>
      </c>
      <c r="H6" s="37">
        <f>'Output Schedule'!G27</f>
        <v>1964</v>
      </c>
      <c r="I6" s="37">
        <f>'Output Schedule'!H27</f>
        <v>2104</v>
      </c>
      <c r="J6" s="37">
        <f>'Output Schedule'!I27</f>
        <v>2104</v>
      </c>
      <c r="K6" s="37">
        <f>'Output Schedule'!J27</f>
        <v>2244</v>
      </c>
      <c r="L6" s="37">
        <f>'Output Schedule'!K27</f>
        <v>2384</v>
      </c>
    </row>
    <row r="7" spans="1:12" x14ac:dyDescent="0.25">
      <c r="A7" s="43"/>
      <c r="B7" s="36" t="s">
        <v>82</v>
      </c>
      <c r="C7" s="36">
        <f>C5+C6-C8</f>
        <v>1209</v>
      </c>
      <c r="D7" s="36">
        <f>D5+D6-D8</f>
        <v>1398</v>
      </c>
      <c r="E7" s="36">
        <f>E5+E6-E8</f>
        <v>1537</v>
      </c>
      <c r="F7" s="36">
        <f>F5+F6-F8</f>
        <v>1677</v>
      </c>
      <c r="G7" s="36">
        <f>G5+G6-G8</f>
        <v>1817</v>
      </c>
      <c r="H7" s="36">
        <f t="shared" ref="H7:I7" si="4">H5+H6-H8</f>
        <v>1958</v>
      </c>
      <c r="I7" s="36">
        <f t="shared" si="4"/>
        <v>2098</v>
      </c>
      <c r="J7" s="36">
        <f t="shared" ref="J7:L7" si="5">J5+J6-J8</f>
        <v>2104</v>
      </c>
      <c r="K7" s="36">
        <f t="shared" si="5"/>
        <v>2238</v>
      </c>
      <c r="L7" s="36">
        <f t="shared" si="5"/>
        <v>2379</v>
      </c>
    </row>
    <row r="8" spans="1:12" x14ac:dyDescent="0.25">
      <c r="A8" s="43"/>
      <c r="B8" s="36" t="s">
        <v>83</v>
      </c>
      <c r="C8" s="36">
        <f>ROUND(C6/24,0)</f>
        <v>53</v>
      </c>
      <c r="D8" s="36">
        <f t="shared" ref="D8:I8" si="6">ROUND(D6/24,0)</f>
        <v>58</v>
      </c>
      <c r="E8" s="36">
        <f t="shared" si="6"/>
        <v>64</v>
      </c>
      <c r="F8" s="36">
        <f t="shared" si="6"/>
        <v>70</v>
      </c>
      <c r="G8" s="36">
        <f t="shared" si="6"/>
        <v>76</v>
      </c>
      <c r="H8" s="36">
        <f t="shared" si="6"/>
        <v>82</v>
      </c>
      <c r="I8" s="36">
        <f t="shared" si="6"/>
        <v>88</v>
      </c>
      <c r="J8" s="36">
        <f t="shared" ref="J8:L8" si="7">ROUND(J6/24,0)</f>
        <v>88</v>
      </c>
      <c r="K8" s="36">
        <f t="shared" si="7"/>
        <v>94</v>
      </c>
      <c r="L8" s="36">
        <f t="shared" si="7"/>
        <v>99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84</v>
      </c>
      <c r="B10" s="8" t="str">
        <f>+'Output Schedule'!A28</f>
        <v>Raw Jari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80</v>
      </c>
      <c r="C11" s="36">
        <f>0</f>
        <v>0</v>
      </c>
      <c r="D11" s="36">
        <f>C14</f>
        <v>1</v>
      </c>
      <c r="E11" s="36">
        <f>D14</f>
        <v>1</v>
      </c>
      <c r="F11" s="36">
        <f>E14</f>
        <v>1</v>
      </c>
      <c r="G11" s="36">
        <f>F14</f>
        <v>1</v>
      </c>
      <c r="H11" s="36">
        <f t="shared" ref="H11:I11" si="8">G14</f>
        <v>1</v>
      </c>
      <c r="I11" s="36">
        <f t="shared" si="8"/>
        <v>1</v>
      </c>
      <c r="J11" s="36">
        <f t="shared" ref="J11" si="9">I14</f>
        <v>1</v>
      </c>
      <c r="K11" s="36">
        <f t="shared" ref="K11" si="10">J14</f>
        <v>1</v>
      </c>
      <c r="L11" s="36">
        <f t="shared" ref="L11" si="11">K14</f>
        <v>2</v>
      </c>
    </row>
    <row r="12" spans="1:12" x14ac:dyDescent="0.25">
      <c r="A12" s="6"/>
      <c r="B12" s="36" t="s">
        <v>81</v>
      </c>
      <c r="C12" s="37">
        <f>'Output Schedule'!B28</f>
        <v>20</v>
      </c>
      <c r="D12" s="37">
        <f>'Output Schedule'!C28</f>
        <v>23</v>
      </c>
      <c r="E12" s="37">
        <f>'Output Schedule'!D28</f>
        <v>25</v>
      </c>
      <c r="F12" s="37">
        <f>'Output Schedule'!E28</f>
        <v>27</v>
      </c>
      <c r="G12" s="37">
        <f>'Output Schedule'!F28</f>
        <v>29</v>
      </c>
      <c r="H12" s="37">
        <f>'Output Schedule'!G28</f>
        <v>32</v>
      </c>
      <c r="I12" s="37">
        <f>'Output Schedule'!H28</f>
        <v>34</v>
      </c>
      <c r="J12" s="37">
        <f>'Output Schedule'!I28</f>
        <v>34</v>
      </c>
      <c r="K12" s="37">
        <f>'Output Schedule'!J28</f>
        <v>36</v>
      </c>
      <c r="L12" s="37">
        <f>'Output Schedule'!K28</f>
        <v>38</v>
      </c>
    </row>
    <row r="13" spans="1:12" x14ac:dyDescent="0.25">
      <c r="A13" s="6"/>
      <c r="B13" s="36" t="s">
        <v>82</v>
      </c>
      <c r="C13" s="36">
        <f>C11+C12-C14</f>
        <v>19</v>
      </c>
      <c r="D13" s="36">
        <f>D11+D12-D14</f>
        <v>23</v>
      </c>
      <c r="E13" s="36">
        <f>E11+E12-E14</f>
        <v>25</v>
      </c>
      <c r="F13" s="36">
        <f>F11+F12-F14</f>
        <v>27</v>
      </c>
      <c r="G13" s="36">
        <f>G11+G12-G14</f>
        <v>29</v>
      </c>
      <c r="H13" s="36">
        <f t="shared" ref="H13:I13" si="12">H11+H12-H14</f>
        <v>32</v>
      </c>
      <c r="I13" s="36">
        <f t="shared" si="12"/>
        <v>34</v>
      </c>
      <c r="J13" s="36">
        <f t="shared" ref="J13:L13" si="13">J11+J12-J14</f>
        <v>34</v>
      </c>
      <c r="K13" s="36">
        <f t="shared" si="13"/>
        <v>35</v>
      </c>
      <c r="L13" s="36">
        <f t="shared" si="13"/>
        <v>38</v>
      </c>
    </row>
    <row r="14" spans="1:12" x14ac:dyDescent="0.25">
      <c r="A14" s="6"/>
      <c r="B14" s="36" t="s">
        <v>83</v>
      </c>
      <c r="C14" s="36">
        <f>ROUND(C12/24,0)</f>
        <v>1</v>
      </c>
      <c r="D14" s="36">
        <f t="shared" ref="D14:I14" si="14">ROUND(D12/24,0)</f>
        <v>1</v>
      </c>
      <c r="E14" s="36">
        <f t="shared" si="14"/>
        <v>1</v>
      </c>
      <c r="F14" s="36">
        <f t="shared" si="14"/>
        <v>1</v>
      </c>
      <c r="G14" s="36">
        <f t="shared" si="14"/>
        <v>1</v>
      </c>
      <c r="H14" s="36">
        <f t="shared" si="14"/>
        <v>1</v>
      </c>
      <c r="I14" s="36">
        <f t="shared" si="14"/>
        <v>1</v>
      </c>
      <c r="J14" s="36">
        <f t="shared" ref="J14:L14" si="15">ROUND(J12/24,0)</f>
        <v>1</v>
      </c>
      <c r="K14" s="36">
        <f t="shared" si="15"/>
        <v>2</v>
      </c>
      <c r="L14" s="36">
        <f t="shared" si="15"/>
        <v>2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 t="s">
        <v>85</v>
      </c>
      <c r="B16" s="26" t="str">
        <f>'Output Schedule'!A29</f>
        <v>Broken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x14ac:dyDescent="0.25">
      <c r="A17" s="6"/>
      <c r="B17" s="36" t="s">
        <v>80</v>
      </c>
      <c r="C17" s="36">
        <f>0</f>
        <v>0</v>
      </c>
      <c r="D17" s="36">
        <f>C20</f>
        <v>2</v>
      </c>
      <c r="E17" s="36">
        <f>D20</f>
        <v>1</v>
      </c>
      <c r="F17" s="36">
        <f>E20</f>
        <v>1</v>
      </c>
      <c r="G17" s="36">
        <f>F20</f>
        <v>2</v>
      </c>
      <c r="H17" s="36">
        <f t="shared" ref="H17:I17" si="16">G20</f>
        <v>2</v>
      </c>
      <c r="I17" s="36">
        <f t="shared" si="16"/>
        <v>2</v>
      </c>
      <c r="J17" s="36">
        <f t="shared" ref="J17" si="17">I20</f>
        <v>2</v>
      </c>
      <c r="K17" s="36">
        <f t="shared" ref="K17" si="18">J20</f>
        <v>2</v>
      </c>
      <c r="L17" s="36">
        <f t="shared" ref="L17" si="19">K20</f>
        <v>2</v>
      </c>
    </row>
    <row r="18" spans="1:12" x14ac:dyDescent="0.25">
      <c r="A18" s="6"/>
      <c r="B18" s="36" t="s">
        <v>81</v>
      </c>
      <c r="C18" s="37">
        <f>'Output Schedule'!B29</f>
        <v>41</v>
      </c>
      <c r="D18" s="37">
        <f>'Output Schedule'!C30</f>
        <v>30</v>
      </c>
      <c r="E18" s="37">
        <f>'Output Schedule'!D30</f>
        <v>33</v>
      </c>
      <c r="F18" s="37">
        <f>'Output Schedule'!E30</f>
        <v>36</v>
      </c>
      <c r="G18" s="37">
        <f>'Output Schedule'!F30</f>
        <v>39</v>
      </c>
      <c r="H18" s="37">
        <f>'Output Schedule'!G30</f>
        <v>42</v>
      </c>
      <c r="I18" s="37">
        <f>'Output Schedule'!H30</f>
        <v>45</v>
      </c>
      <c r="J18" s="37">
        <f>'Output Schedule'!I30</f>
        <v>45</v>
      </c>
      <c r="K18" s="37">
        <f>'Output Schedule'!J30</f>
        <v>48</v>
      </c>
      <c r="L18" s="37">
        <f>'Output Schedule'!K30</f>
        <v>51</v>
      </c>
    </row>
    <row r="19" spans="1:12" x14ac:dyDescent="0.25">
      <c r="A19" s="6"/>
      <c r="B19" s="36" t="s">
        <v>82</v>
      </c>
      <c r="C19" s="36">
        <f>C17+C18-C20</f>
        <v>39</v>
      </c>
      <c r="D19" s="36">
        <f>D17+D18-D20</f>
        <v>31</v>
      </c>
      <c r="E19" s="36">
        <f>E17+E18-E20</f>
        <v>33</v>
      </c>
      <c r="F19" s="36">
        <f>F17+F18-F20</f>
        <v>35</v>
      </c>
      <c r="G19" s="36">
        <f>G17+G18-G20</f>
        <v>39</v>
      </c>
      <c r="H19" s="36">
        <f t="shared" ref="H19:I19" si="20">H17+H18-H20</f>
        <v>42</v>
      </c>
      <c r="I19" s="36">
        <f t="shared" si="20"/>
        <v>45</v>
      </c>
      <c r="J19" s="36">
        <f t="shared" ref="J19:L19" si="21">J17+J18-J20</f>
        <v>45</v>
      </c>
      <c r="K19" s="36">
        <f t="shared" si="21"/>
        <v>48</v>
      </c>
      <c r="L19" s="36">
        <f t="shared" si="21"/>
        <v>51</v>
      </c>
    </row>
    <row r="20" spans="1:12" x14ac:dyDescent="0.25">
      <c r="A20" s="6"/>
      <c r="B20" s="36" t="s">
        <v>83</v>
      </c>
      <c r="C20" s="36">
        <f>ROUND(C18/24,0)</f>
        <v>2</v>
      </c>
      <c r="D20" s="36">
        <f t="shared" ref="D20:I20" si="22">ROUND(D18/24,0)</f>
        <v>1</v>
      </c>
      <c r="E20" s="36">
        <f t="shared" si="22"/>
        <v>1</v>
      </c>
      <c r="F20" s="36">
        <f t="shared" si="22"/>
        <v>2</v>
      </c>
      <c r="G20" s="36">
        <f t="shared" si="22"/>
        <v>2</v>
      </c>
      <c r="H20" s="36">
        <f t="shared" si="22"/>
        <v>2</v>
      </c>
      <c r="I20" s="36">
        <f t="shared" si="22"/>
        <v>2</v>
      </c>
      <c r="J20" s="36">
        <f t="shared" ref="J20:L20" si="23">ROUND(J18/24,0)</f>
        <v>2</v>
      </c>
      <c r="K20" s="36">
        <f t="shared" si="23"/>
        <v>2</v>
      </c>
      <c r="L20" s="36">
        <f t="shared" si="23"/>
        <v>2</v>
      </c>
    </row>
    <row r="21" spans="1:12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5">
      <c r="A22" s="264" t="s">
        <v>408</v>
      </c>
      <c r="B22" s="26" t="str">
        <f>'Output Schedule'!A30</f>
        <v>Powder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x14ac:dyDescent="0.25">
      <c r="A23" s="6"/>
      <c r="B23" s="36" t="s">
        <v>80</v>
      </c>
      <c r="C23" s="36">
        <f>0</f>
        <v>0</v>
      </c>
      <c r="D23" s="36">
        <f>C26</f>
        <v>1</v>
      </c>
      <c r="E23" s="36">
        <f>D26</f>
        <v>1</v>
      </c>
      <c r="F23" s="36">
        <f>E26</f>
        <v>1</v>
      </c>
      <c r="G23" s="36">
        <f>F26</f>
        <v>2</v>
      </c>
      <c r="H23" s="36">
        <f t="shared" ref="H23" si="24">G26</f>
        <v>2</v>
      </c>
      <c r="I23" s="36">
        <f t="shared" ref="I23" si="25">H26</f>
        <v>2</v>
      </c>
      <c r="J23" s="36">
        <f t="shared" ref="J23" si="26">I26</f>
        <v>2</v>
      </c>
      <c r="K23" s="36">
        <f t="shared" ref="K23" si="27">J26</f>
        <v>2</v>
      </c>
      <c r="L23" s="36">
        <f t="shared" ref="L23" si="28">K26</f>
        <v>2</v>
      </c>
    </row>
    <row r="24" spans="1:12" x14ac:dyDescent="0.25">
      <c r="A24" s="6"/>
      <c r="B24" s="36" t="s">
        <v>81</v>
      </c>
      <c r="C24" s="37">
        <f>'Output Schedule'!B30</f>
        <v>27</v>
      </c>
      <c r="D24" s="37">
        <f>'Output Schedule'!C30</f>
        <v>30</v>
      </c>
      <c r="E24" s="37">
        <f>'Output Schedule'!D30</f>
        <v>33</v>
      </c>
      <c r="F24" s="37">
        <f>'Output Schedule'!E30</f>
        <v>36</v>
      </c>
      <c r="G24" s="37">
        <f>'Output Schedule'!F30</f>
        <v>39</v>
      </c>
      <c r="H24" s="37">
        <f>'Output Schedule'!G30</f>
        <v>42</v>
      </c>
      <c r="I24" s="37">
        <f>'Output Schedule'!H30</f>
        <v>45</v>
      </c>
      <c r="J24" s="37">
        <f>'Output Schedule'!I30</f>
        <v>45</v>
      </c>
      <c r="K24" s="37">
        <f>'Output Schedule'!J30</f>
        <v>48</v>
      </c>
      <c r="L24" s="37">
        <f>'Output Schedule'!K30</f>
        <v>51</v>
      </c>
    </row>
    <row r="25" spans="1:12" x14ac:dyDescent="0.25">
      <c r="A25" s="6"/>
      <c r="B25" s="36" t="s">
        <v>82</v>
      </c>
      <c r="C25" s="36">
        <f>C23+C24-C26</f>
        <v>26</v>
      </c>
      <c r="D25" s="36">
        <f>D23+D24-D26</f>
        <v>30</v>
      </c>
      <c r="E25" s="36">
        <f>E23+E24-E26</f>
        <v>33</v>
      </c>
      <c r="F25" s="36">
        <f>F23+F24-F26</f>
        <v>35</v>
      </c>
      <c r="G25" s="36">
        <f>G23+G24-G26</f>
        <v>39</v>
      </c>
      <c r="H25" s="36">
        <f t="shared" ref="H25:L25" si="29">H23+H24-H26</f>
        <v>42</v>
      </c>
      <c r="I25" s="36">
        <f t="shared" si="29"/>
        <v>45</v>
      </c>
      <c r="J25" s="36">
        <f t="shared" si="29"/>
        <v>45</v>
      </c>
      <c r="K25" s="36">
        <f t="shared" si="29"/>
        <v>48</v>
      </c>
      <c r="L25" s="36">
        <f t="shared" si="29"/>
        <v>51</v>
      </c>
    </row>
    <row r="26" spans="1:12" x14ac:dyDescent="0.25">
      <c r="A26" s="6"/>
      <c r="B26" s="36" t="s">
        <v>83</v>
      </c>
      <c r="C26" s="36">
        <f>ROUND(C24/24,0)</f>
        <v>1</v>
      </c>
      <c r="D26" s="36">
        <f t="shared" ref="D26:L26" si="30">ROUND(D24/24,0)</f>
        <v>1</v>
      </c>
      <c r="E26" s="36">
        <f t="shared" si="30"/>
        <v>1</v>
      </c>
      <c r="F26" s="36">
        <f t="shared" si="30"/>
        <v>2</v>
      </c>
      <c r="G26" s="36">
        <f t="shared" si="30"/>
        <v>2</v>
      </c>
      <c r="H26" s="36">
        <f t="shared" si="30"/>
        <v>2</v>
      </c>
      <c r="I26" s="36">
        <f t="shared" si="30"/>
        <v>2</v>
      </c>
      <c r="J26" s="36">
        <f t="shared" si="30"/>
        <v>2</v>
      </c>
      <c r="K26" s="36">
        <f t="shared" si="30"/>
        <v>2</v>
      </c>
      <c r="L26" s="36">
        <f t="shared" si="30"/>
        <v>2</v>
      </c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26" t="s">
        <v>86</v>
      </c>
      <c r="C28" s="3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43" t="s">
        <v>79</v>
      </c>
      <c r="B29" s="33" t="str">
        <f>+B4</f>
        <v>Polished Rice</v>
      </c>
      <c r="C29" s="42">
        <v>50000</v>
      </c>
      <c r="D29" s="45">
        <f>ROUND(C29*1.05,-1)</f>
        <v>52500</v>
      </c>
      <c r="E29" s="45">
        <f t="shared" ref="E29:L29" si="31">ROUND(D29*1.05,-1)</f>
        <v>55130</v>
      </c>
      <c r="F29" s="45">
        <f t="shared" si="31"/>
        <v>57890</v>
      </c>
      <c r="G29" s="45">
        <f t="shared" si="31"/>
        <v>60780</v>
      </c>
      <c r="H29" s="45">
        <f t="shared" si="31"/>
        <v>63820</v>
      </c>
      <c r="I29" s="45">
        <f t="shared" si="31"/>
        <v>67010</v>
      </c>
      <c r="J29" s="45">
        <f t="shared" si="31"/>
        <v>70360</v>
      </c>
      <c r="K29" s="45">
        <f t="shared" si="31"/>
        <v>73880</v>
      </c>
      <c r="L29" s="45">
        <f t="shared" si="31"/>
        <v>77570</v>
      </c>
    </row>
    <row r="30" spans="1:12" x14ac:dyDescent="0.25">
      <c r="A30" s="43" t="s">
        <v>84</v>
      </c>
      <c r="B30" s="33" t="str">
        <f>B10</f>
        <v>Raw Jari</v>
      </c>
      <c r="C30" s="42">
        <v>14000</v>
      </c>
      <c r="D30" s="45">
        <f>ROUND(C30*1.05,-1)</f>
        <v>14700</v>
      </c>
      <c r="E30" s="45">
        <f t="shared" ref="E30:L30" si="32">ROUND(D30*1.05,-1)</f>
        <v>15440</v>
      </c>
      <c r="F30" s="45">
        <f t="shared" si="32"/>
        <v>16210</v>
      </c>
      <c r="G30" s="45">
        <f t="shared" si="32"/>
        <v>17020</v>
      </c>
      <c r="H30" s="45">
        <f t="shared" si="32"/>
        <v>17870</v>
      </c>
      <c r="I30" s="45">
        <f t="shared" si="32"/>
        <v>18760</v>
      </c>
      <c r="J30" s="45">
        <f t="shared" si="32"/>
        <v>19700</v>
      </c>
      <c r="K30" s="45">
        <f t="shared" si="32"/>
        <v>20690</v>
      </c>
      <c r="L30" s="45">
        <f t="shared" si="32"/>
        <v>21720</v>
      </c>
    </row>
    <row r="31" spans="1:12" x14ac:dyDescent="0.25">
      <c r="A31" s="43" t="s">
        <v>85</v>
      </c>
      <c r="B31" s="33" t="str">
        <f>B16</f>
        <v>Broken</v>
      </c>
      <c r="C31" s="42">
        <v>25000</v>
      </c>
      <c r="D31" s="45">
        <f>ROUND(C31*1.05,-1)</f>
        <v>26250</v>
      </c>
      <c r="E31" s="45">
        <f t="shared" ref="E31:L31" si="33">ROUND(D31*1.05,-1)</f>
        <v>27560</v>
      </c>
      <c r="F31" s="45">
        <f t="shared" si="33"/>
        <v>28940</v>
      </c>
      <c r="G31" s="45">
        <f t="shared" si="33"/>
        <v>30390</v>
      </c>
      <c r="H31" s="45">
        <f t="shared" si="33"/>
        <v>31910</v>
      </c>
      <c r="I31" s="45">
        <f t="shared" si="33"/>
        <v>33510</v>
      </c>
      <c r="J31" s="45">
        <f t="shared" si="33"/>
        <v>35190</v>
      </c>
      <c r="K31" s="45">
        <f t="shared" si="33"/>
        <v>36950</v>
      </c>
      <c r="L31" s="45">
        <f t="shared" si="33"/>
        <v>38800</v>
      </c>
    </row>
    <row r="32" spans="1:12" x14ac:dyDescent="0.25">
      <c r="A32" s="43" t="s">
        <v>408</v>
      </c>
      <c r="B32" s="33" t="str">
        <f>B22</f>
        <v>Powder</v>
      </c>
      <c r="C32" s="42">
        <v>12000</v>
      </c>
      <c r="D32" s="45">
        <f>ROUND(C32*1.05,-1)</f>
        <v>12600</v>
      </c>
      <c r="E32" s="45">
        <f t="shared" ref="E32:L32" si="34">ROUND(D32*1.05,-1)</f>
        <v>13230</v>
      </c>
      <c r="F32" s="45">
        <f t="shared" si="34"/>
        <v>13890</v>
      </c>
      <c r="G32" s="45">
        <f t="shared" si="34"/>
        <v>14580</v>
      </c>
      <c r="H32" s="45">
        <f t="shared" si="34"/>
        <v>15310</v>
      </c>
      <c r="I32" s="45">
        <f t="shared" si="34"/>
        <v>16080</v>
      </c>
      <c r="J32" s="45">
        <f t="shared" si="34"/>
        <v>16880</v>
      </c>
      <c r="K32" s="45">
        <f t="shared" si="34"/>
        <v>17720</v>
      </c>
      <c r="L32" s="45">
        <f t="shared" si="34"/>
        <v>18610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8" t="s">
        <v>79</v>
      </c>
      <c r="B34" s="8" t="str">
        <f>B29</f>
        <v>Polished Rice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36" t="s">
        <v>71</v>
      </c>
      <c r="C35" s="42">
        <v>0</v>
      </c>
      <c r="D35" s="42">
        <f>C36</f>
        <v>26.5</v>
      </c>
      <c r="E35" s="42">
        <f>D36</f>
        <v>30.45</v>
      </c>
      <c r="F35" s="42">
        <f t="shared" ref="F35:I35" si="35">E36</f>
        <v>35.283200000000001</v>
      </c>
      <c r="G35" s="42">
        <f t="shared" si="35"/>
        <v>40.523000000000003</v>
      </c>
      <c r="H35" s="42">
        <f t="shared" si="35"/>
        <v>46.192799999999998</v>
      </c>
      <c r="I35" s="42">
        <f t="shared" si="35"/>
        <v>52.3324</v>
      </c>
      <c r="J35" s="42">
        <f t="shared" ref="J35" si="36">I36</f>
        <v>58.968800000000002</v>
      </c>
      <c r="K35" s="42">
        <f t="shared" ref="K35" si="37">J36</f>
        <v>61.916800000000002</v>
      </c>
      <c r="L35" s="42">
        <f t="shared" ref="L35" si="38">K36</f>
        <v>69.447199999999995</v>
      </c>
    </row>
    <row r="36" spans="1:12" x14ac:dyDescent="0.25">
      <c r="A36" s="6"/>
      <c r="B36" s="36" t="s">
        <v>72</v>
      </c>
      <c r="C36" s="42">
        <f>C8*C29/100000</f>
        <v>26.5</v>
      </c>
      <c r="D36" s="42">
        <f t="shared" ref="D36:I36" si="39">D8*D29/100000</f>
        <v>30.45</v>
      </c>
      <c r="E36" s="42">
        <f t="shared" si="39"/>
        <v>35.283200000000001</v>
      </c>
      <c r="F36" s="42">
        <f t="shared" si="39"/>
        <v>40.523000000000003</v>
      </c>
      <c r="G36" s="42">
        <f t="shared" si="39"/>
        <v>46.192799999999998</v>
      </c>
      <c r="H36" s="42">
        <f t="shared" si="39"/>
        <v>52.3324</v>
      </c>
      <c r="I36" s="42">
        <f t="shared" si="39"/>
        <v>58.968800000000002</v>
      </c>
      <c r="J36" s="42">
        <f t="shared" ref="J36:L36" si="40">J8*J29/100000</f>
        <v>61.916800000000002</v>
      </c>
      <c r="K36" s="42">
        <f t="shared" si="40"/>
        <v>69.447199999999995</v>
      </c>
      <c r="L36" s="42">
        <f t="shared" si="40"/>
        <v>76.794300000000007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8" t="s">
        <v>84</v>
      </c>
      <c r="B38" s="8" t="str">
        <f>B10</f>
        <v>Raw Jari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36" t="s">
        <v>71</v>
      </c>
      <c r="C39" s="42">
        <v>0</v>
      </c>
      <c r="D39" s="42">
        <f>C40</f>
        <v>0.14000000000000001</v>
      </c>
      <c r="E39" s="42">
        <f>D40</f>
        <v>0.14699999999999999</v>
      </c>
      <c r="F39" s="42">
        <f t="shared" ref="F39:I39" si="41">E40</f>
        <v>0.15440000000000001</v>
      </c>
      <c r="G39" s="42">
        <f t="shared" si="41"/>
        <v>0.16209999999999999</v>
      </c>
      <c r="H39" s="42">
        <f t="shared" si="41"/>
        <v>0.17019999999999999</v>
      </c>
      <c r="I39" s="42">
        <f t="shared" si="41"/>
        <v>0.1787</v>
      </c>
      <c r="J39" s="42">
        <f t="shared" ref="J39" si="42">I40</f>
        <v>0.18759999999999999</v>
      </c>
      <c r="K39" s="42">
        <f t="shared" ref="K39" si="43">J40</f>
        <v>0.19700000000000001</v>
      </c>
      <c r="L39" s="42">
        <f t="shared" ref="L39" si="44">K40</f>
        <v>0.4138</v>
      </c>
    </row>
    <row r="40" spans="1:12" x14ac:dyDescent="0.25">
      <c r="A40" s="6"/>
      <c r="B40" s="36" t="s">
        <v>72</v>
      </c>
      <c r="C40" s="42">
        <f>C30*C14/100000</f>
        <v>0.14000000000000001</v>
      </c>
      <c r="D40" s="42">
        <f t="shared" ref="D40:I40" si="45">D30*D14/100000</f>
        <v>0.14699999999999999</v>
      </c>
      <c r="E40" s="42">
        <f t="shared" si="45"/>
        <v>0.15440000000000001</v>
      </c>
      <c r="F40" s="42">
        <f t="shared" si="45"/>
        <v>0.16209999999999999</v>
      </c>
      <c r="G40" s="42">
        <f t="shared" si="45"/>
        <v>0.17019999999999999</v>
      </c>
      <c r="H40" s="42">
        <f t="shared" si="45"/>
        <v>0.1787</v>
      </c>
      <c r="I40" s="42">
        <f t="shared" si="45"/>
        <v>0.18759999999999999</v>
      </c>
      <c r="J40" s="42">
        <f t="shared" ref="J40:L40" si="46">J30*J14/100000</f>
        <v>0.19700000000000001</v>
      </c>
      <c r="K40" s="42">
        <f t="shared" si="46"/>
        <v>0.4138</v>
      </c>
      <c r="L40" s="42">
        <f t="shared" si="46"/>
        <v>0.43440000000000001</v>
      </c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8" t="s">
        <v>85</v>
      </c>
      <c r="B42" s="8" t="str">
        <f>B16</f>
        <v>Broken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36" t="s">
        <v>71</v>
      </c>
      <c r="C43" s="42">
        <v>0</v>
      </c>
      <c r="D43" s="42">
        <f>C44</f>
        <v>0.5</v>
      </c>
      <c r="E43" s="42">
        <f>D44</f>
        <v>0.26250000000000001</v>
      </c>
      <c r="F43" s="42">
        <f t="shared" ref="F43:I43" si="47">E44</f>
        <v>0.27560000000000001</v>
      </c>
      <c r="G43" s="42">
        <f t="shared" si="47"/>
        <v>0.57879999999999998</v>
      </c>
      <c r="H43" s="42">
        <f t="shared" si="47"/>
        <v>0.60780000000000001</v>
      </c>
      <c r="I43" s="42">
        <f t="shared" si="47"/>
        <v>0.63819999999999999</v>
      </c>
      <c r="J43" s="42">
        <f t="shared" ref="J43" si="48">I44</f>
        <v>0.67020000000000002</v>
      </c>
      <c r="K43" s="42">
        <f t="shared" ref="K43" si="49">J44</f>
        <v>0.70379999999999998</v>
      </c>
      <c r="L43" s="42">
        <f t="shared" ref="L43" si="50">K44</f>
        <v>0.73899999999999999</v>
      </c>
    </row>
    <row r="44" spans="1:12" x14ac:dyDescent="0.25">
      <c r="A44" s="6"/>
      <c r="B44" s="36" t="s">
        <v>72</v>
      </c>
      <c r="C44" s="42">
        <f>C31*C20/100000</f>
        <v>0.5</v>
      </c>
      <c r="D44" s="42">
        <f t="shared" ref="D44:I44" si="51">D31*D20/100000</f>
        <v>0.26250000000000001</v>
      </c>
      <c r="E44" s="42">
        <f t="shared" si="51"/>
        <v>0.27560000000000001</v>
      </c>
      <c r="F44" s="42">
        <f t="shared" si="51"/>
        <v>0.57879999999999998</v>
      </c>
      <c r="G44" s="42">
        <f t="shared" si="51"/>
        <v>0.60780000000000001</v>
      </c>
      <c r="H44" s="42">
        <f t="shared" si="51"/>
        <v>0.63819999999999999</v>
      </c>
      <c r="I44" s="42">
        <f t="shared" si="51"/>
        <v>0.67020000000000002</v>
      </c>
      <c r="J44" s="42">
        <f t="shared" ref="J44:L44" si="52">J31*J20/100000</f>
        <v>0.70379999999999998</v>
      </c>
      <c r="K44" s="42">
        <f t="shared" si="52"/>
        <v>0.73899999999999999</v>
      </c>
      <c r="L44" s="42">
        <f t="shared" si="52"/>
        <v>0.77600000000000002</v>
      </c>
    </row>
    <row r="45" spans="1:12" x14ac:dyDescent="0.25">
      <c r="A45" s="6"/>
      <c r="B45" s="36"/>
      <c r="C45" s="42"/>
      <c r="D45" s="42"/>
      <c r="E45" s="42"/>
      <c r="F45" s="42"/>
      <c r="G45" s="42"/>
      <c r="H45" s="42"/>
      <c r="I45" s="42"/>
      <c r="J45" s="6"/>
      <c r="K45" s="6"/>
      <c r="L45" s="6"/>
    </row>
    <row r="46" spans="1:12" x14ac:dyDescent="0.25">
      <c r="A46" s="6" t="s">
        <v>408</v>
      </c>
      <c r="B46" s="8" t="str">
        <f>B22</f>
        <v>Powder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36" t="s">
        <v>71</v>
      </c>
      <c r="C47" s="42">
        <v>0</v>
      </c>
      <c r="D47" s="42">
        <f>C48</f>
        <v>0.12</v>
      </c>
      <c r="E47" s="42">
        <f>D48</f>
        <v>0.126</v>
      </c>
      <c r="F47" s="42">
        <f t="shared" ref="F47" si="53">E48</f>
        <v>0.1323</v>
      </c>
      <c r="G47" s="42">
        <f t="shared" ref="G47" si="54">F48</f>
        <v>0.27779999999999999</v>
      </c>
      <c r="H47" s="42">
        <f t="shared" ref="H47" si="55">G48</f>
        <v>0.29160000000000003</v>
      </c>
      <c r="I47" s="42">
        <f t="shared" ref="I47" si="56">H48</f>
        <v>0.30620000000000003</v>
      </c>
      <c r="J47" s="42">
        <f t="shared" ref="J47" si="57">I48</f>
        <v>0.3216</v>
      </c>
      <c r="K47" s="42">
        <f t="shared" ref="K47" si="58">J48</f>
        <v>0.33760000000000001</v>
      </c>
      <c r="L47" s="42">
        <f t="shared" ref="L47" si="59">K48</f>
        <v>0.35439999999999999</v>
      </c>
    </row>
    <row r="48" spans="1:12" x14ac:dyDescent="0.25">
      <c r="A48" s="6"/>
      <c r="B48" s="36" t="s">
        <v>72</v>
      </c>
      <c r="C48" s="42">
        <f>C32*C26/100000</f>
        <v>0.12</v>
      </c>
      <c r="D48" s="42">
        <f t="shared" ref="D48:L48" si="60">D32*D26/100000</f>
        <v>0.126</v>
      </c>
      <c r="E48" s="42">
        <f t="shared" si="60"/>
        <v>0.1323</v>
      </c>
      <c r="F48" s="42">
        <f t="shared" si="60"/>
        <v>0.27779999999999999</v>
      </c>
      <c r="G48" s="42">
        <f t="shared" si="60"/>
        <v>0.29160000000000003</v>
      </c>
      <c r="H48" s="42">
        <f t="shared" si="60"/>
        <v>0.30620000000000003</v>
      </c>
      <c r="I48" s="42">
        <f t="shared" si="60"/>
        <v>0.3216</v>
      </c>
      <c r="J48" s="42">
        <f t="shared" si="60"/>
        <v>0.33760000000000001</v>
      </c>
      <c r="K48" s="42">
        <f t="shared" si="60"/>
        <v>0.35439999999999999</v>
      </c>
      <c r="L48" s="42">
        <f t="shared" si="60"/>
        <v>0.37219999999999998</v>
      </c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8" t="s">
        <v>87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26" t="s">
        <v>71</v>
      </c>
      <c r="C51" s="41">
        <f>C35+C39+C43+C47</f>
        <v>0</v>
      </c>
      <c r="D51" s="41">
        <f t="shared" ref="D51:L51" si="61">D35+D39+D43+D47</f>
        <v>27.26</v>
      </c>
      <c r="E51" s="41">
        <f t="shared" si="61"/>
        <v>30.985499999999998</v>
      </c>
      <c r="F51" s="41">
        <f t="shared" si="61"/>
        <v>35.845500000000001</v>
      </c>
      <c r="G51" s="41">
        <f t="shared" si="61"/>
        <v>41.541700000000006</v>
      </c>
      <c r="H51" s="41">
        <f t="shared" si="61"/>
        <v>47.2624</v>
      </c>
      <c r="I51" s="41">
        <f t="shared" si="61"/>
        <v>53.455499999999994</v>
      </c>
      <c r="J51" s="41">
        <f t="shared" si="61"/>
        <v>60.148200000000003</v>
      </c>
      <c r="K51" s="41">
        <f t="shared" si="61"/>
        <v>63.155200000000008</v>
      </c>
      <c r="L51" s="41">
        <f t="shared" si="61"/>
        <v>70.954399999999993</v>
      </c>
    </row>
    <row r="52" spans="1:12" x14ac:dyDescent="0.25">
      <c r="A52" s="6"/>
      <c r="B52" s="26" t="s">
        <v>72</v>
      </c>
      <c r="C52" s="41">
        <f>C36+C40+C44+C48</f>
        <v>27.26</v>
      </c>
      <c r="D52" s="41">
        <f t="shared" ref="D52:L52" si="62">D36+D40+D44+D48</f>
        <v>30.985499999999998</v>
      </c>
      <c r="E52" s="41">
        <f t="shared" si="62"/>
        <v>35.845500000000001</v>
      </c>
      <c r="F52" s="41">
        <f t="shared" si="62"/>
        <v>41.541700000000006</v>
      </c>
      <c r="G52" s="41">
        <f t="shared" si="62"/>
        <v>47.2624</v>
      </c>
      <c r="H52" s="41">
        <f t="shared" si="62"/>
        <v>53.455499999999994</v>
      </c>
      <c r="I52" s="41">
        <f t="shared" si="62"/>
        <v>60.148200000000003</v>
      </c>
      <c r="J52" s="41">
        <f t="shared" si="62"/>
        <v>63.155200000000008</v>
      </c>
      <c r="K52" s="41">
        <f t="shared" si="62"/>
        <v>70.954399999999993</v>
      </c>
      <c r="L52" s="41">
        <f t="shared" si="62"/>
        <v>78.376900000000006</v>
      </c>
    </row>
    <row r="54" spans="1:12" x14ac:dyDescent="0.25">
      <c r="C54" s="25"/>
    </row>
  </sheetData>
  <pageMargins left="0.7" right="0.7" top="0.75" bottom="0.75" header="0.3" footer="0.3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7" t="s">
        <v>414</v>
      </c>
      <c r="B2" s="168" t="s">
        <v>415</v>
      </c>
      <c r="C2" s="169" t="s">
        <v>416</v>
      </c>
      <c r="D2" s="292" t="s">
        <v>417</v>
      </c>
      <c r="E2" s="292" t="s">
        <v>418</v>
      </c>
      <c r="F2" s="292" t="s">
        <v>419</v>
      </c>
      <c r="G2" s="294" t="s">
        <v>420</v>
      </c>
      <c r="H2" s="295"/>
      <c r="I2" s="295"/>
      <c r="J2" s="295"/>
      <c r="K2" s="295"/>
      <c r="L2" s="295"/>
      <c r="M2" s="296"/>
    </row>
    <row r="3" spans="1:13" x14ac:dyDescent="0.25">
      <c r="A3" s="170" t="s">
        <v>421</v>
      </c>
      <c r="B3" s="170"/>
      <c r="C3" s="171" t="s">
        <v>422</v>
      </c>
      <c r="D3" s="293"/>
      <c r="E3" s="293"/>
      <c r="F3" s="293"/>
      <c r="G3" s="172" t="s">
        <v>36</v>
      </c>
      <c r="H3" s="172" t="s">
        <v>37</v>
      </c>
      <c r="I3" s="172" t="s">
        <v>38</v>
      </c>
      <c r="J3" s="172" t="s">
        <v>39</v>
      </c>
      <c r="K3" s="172" t="s">
        <v>40</v>
      </c>
      <c r="L3" s="172" t="s">
        <v>41</v>
      </c>
      <c r="M3" s="172" t="s">
        <v>42</v>
      </c>
    </row>
    <row r="4" spans="1:13" x14ac:dyDescent="0.25">
      <c r="A4" s="162" t="s">
        <v>423</v>
      </c>
      <c r="B4" s="10"/>
      <c r="C4" s="10"/>
      <c r="D4" s="10"/>
      <c r="E4" s="10"/>
      <c r="F4" s="10"/>
      <c r="G4" s="163">
        <v>0.4</v>
      </c>
      <c r="H4" s="164">
        <v>0.5</v>
      </c>
      <c r="I4" s="164">
        <f t="shared" ref="I4:K4" si="0">+H4+5%</f>
        <v>0.55000000000000004</v>
      </c>
      <c r="J4" s="164">
        <f t="shared" si="0"/>
        <v>0.60000000000000009</v>
      </c>
      <c r="K4" s="164">
        <f t="shared" si="0"/>
        <v>0.65000000000000013</v>
      </c>
      <c r="L4" s="164">
        <f>+K4</f>
        <v>0.65000000000000013</v>
      </c>
      <c r="M4" s="164">
        <f>+L4</f>
        <v>0.65000000000000013</v>
      </c>
    </row>
    <row r="5" spans="1:13" x14ac:dyDescent="0.25">
      <c r="A5" s="10" t="s">
        <v>470</v>
      </c>
      <c r="B5" s="10">
        <v>1</v>
      </c>
      <c r="C5" s="10">
        <v>700</v>
      </c>
      <c r="D5" s="10"/>
      <c r="E5" s="10">
        <v>1500</v>
      </c>
      <c r="F5" s="10" t="s">
        <v>424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471</v>
      </c>
      <c r="B6" s="10">
        <v>2</v>
      </c>
      <c r="C6" s="10">
        <v>350</v>
      </c>
      <c r="D6" s="10"/>
      <c r="E6" s="10">
        <v>1000</v>
      </c>
      <c r="F6" s="10" t="s">
        <v>424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425</v>
      </c>
      <c r="B7" s="10"/>
      <c r="C7" s="10"/>
      <c r="D7" s="10"/>
      <c r="E7" s="10"/>
      <c r="F7" s="10" t="s">
        <v>426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427</v>
      </c>
      <c r="B8" s="10"/>
      <c r="C8" s="10"/>
      <c r="D8" s="10"/>
      <c r="E8" s="10"/>
      <c r="F8" s="10" t="s">
        <v>428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429</v>
      </c>
      <c r="B9" s="10"/>
      <c r="C9" s="10"/>
      <c r="D9" s="10"/>
      <c r="E9" s="10"/>
      <c r="F9" s="10" t="s">
        <v>428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3" t="s">
        <v>326</v>
      </c>
      <c r="B10" s="83"/>
      <c r="C10" s="83"/>
      <c r="D10" s="83"/>
      <c r="E10" s="83"/>
      <c r="F10" s="83"/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</row>
    <row r="19" spans="4:4" x14ac:dyDescent="0.25">
      <c r="D19" s="166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413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85" zoomScaleNormal="100" zoomScaleSheetLayoutView="85" workbookViewId="0">
      <selection activeCell="B23" sqref="B23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297" t="s">
        <v>90</v>
      </c>
      <c r="B1" s="297"/>
      <c r="C1" s="297"/>
      <c r="D1" s="297"/>
      <c r="E1" s="297"/>
      <c r="F1" s="297"/>
      <c r="G1" s="297"/>
    </row>
    <row r="2" spans="1:7" ht="26.25" x14ac:dyDescent="0.25">
      <c r="A2" s="47" t="s">
        <v>91</v>
      </c>
      <c r="B2" s="47" t="s">
        <v>1</v>
      </c>
      <c r="C2" s="48" t="s">
        <v>92</v>
      </c>
      <c r="D2" s="48"/>
      <c r="E2" s="48" t="s">
        <v>93</v>
      </c>
      <c r="F2" s="49" t="s">
        <v>94</v>
      </c>
      <c r="G2" s="49" t="s">
        <v>95</v>
      </c>
    </row>
    <row r="3" spans="1:7" x14ac:dyDescent="0.25">
      <c r="A3" s="50">
        <v>1</v>
      </c>
      <c r="B3" s="51" t="s">
        <v>96</v>
      </c>
      <c r="C3" s="50" t="s">
        <v>97</v>
      </c>
      <c r="D3" s="50" t="s">
        <v>564</v>
      </c>
      <c r="E3" s="50">
        <v>0</v>
      </c>
      <c r="F3" s="52">
        <v>30000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98</v>
      </c>
      <c r="C4" s="50" t="s">
        <v>97</v>
      </c>
      <c r="D4" s="50" t="s">
        <v>410</v>
      </c>
      <c r="E4" s="50">
        <v>0</v>
      </c>
      <c r="F4" s="52">
        <v>15000</v>
      </c>
      <c r="G4" s="52">
        <f t="shared" si="0"/>
        <v>0</v>
      </c>
    </row>
    <row r="5" spans="1:7" x14ac:dyDescent="0.25">
      <c r="A5" s="50">
        <v>3</v>
      </c>
      <c r="B5" s="51" t="s">
        <v>99</v>
      </c>
      <c r="C5" s="50" t="s">
        <v>97</v>
      </c>
      <c r="D5" s="50" t="s">
        <v>564</v>
      </c>
      <c r="E5" s="50">
        <v>0</v>
      </c>
      <c r="F5" s="52">
        <v>15000</v>
      </c>
      <c r="G5" s="52">
        <f t="shared" si="0"/>
        <v>0</v>
      </c>
    </row>
    <row r="6" spans="1:7" x14ac:dyDescent="0.25">
      <c r="A6" s="50">
        <v>4</v>
      </c>
      <c r="B6" s="53" t="s">
        <v>100</v>
      </c>
      <c r="C6" s="50" t="s">
        <v>97</v>
      </c>
      <c r="D6" s="50" t="s">
        <v>564</v>
      </c>
      <c r="E6" s="50">
        <v>0</v>
      </c>
      <c r="F6" s="52">
        <v>12000</v>
      </c>
      <c r="G6" s="52">
        <f t="shared" si="0"/>
        <v>0</v>
      </c>
    </row>
    <row r="7" spans="1:7" x14ac:dyDescent="0.25">
      <c r="A7" s="50">
        <v>5</v>
      </c>
      <c r="B7" s="51" t="s">
        <v>101</v>
      </c>
      <c r="C7" s="50" t="s">
        <v>97</v>
      </c>
      <c r="D7" s="50" t="s">
        <v>564</v>
      </c>
      <c r="E7" s="50">
        <v>1</v>
      </c>
      <c r="F7" s="52">
        <v>10000</v>
      </c>
      <c r="G7" s="52">
        <f t="shared" si="0"/>
        <v>1.2</v>
      </c>
    </row>
    <row r="8" spans="1:7" x14ac:dyDescent="0.25">
      <c r="A8" s="50">
        <v>6</v>
      </c>
      <c r="B8" s="51" t="s">
        <v>102</v>
      </c>
      <c r="C8" s="50" t="s">
        <v>97</v>
      </c>
      <c r="D8" s="50" t="s">
        <v>410</v>
      </c>
      <c r="E8" s="50">
        <v>0</v>
      </c>
      <c r="F8" s="52">
        <v>9000</v>
      </c>
      <c r="G8" s="52">
        <f t="shared" si="0"/>
        <v>0</v>
      </c>
    </row>
    <row r="9" spans="1:7" x14ac:dyDescent="0.25">
      <c r="A9" s="50">
        <v>7</v>
      </c>
      <c r="B9" s="51" t="s">
        <v>103</v>
      </c>
      <c r="C9" s="50" t="s">
        <v>97</v>
      </c>
      <c r="D9" s="50" t="s">
        <v>564</v>
      </c>
      <c r="E9" s="50">
        <v>1</v>
      </c>
      <c r="F9" s="52">
        <v>8000</v>
      </c>
      <c r="G9" s="52">
        <f t="shared" si="0"/>
        <v>0.96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159</v>
      </c>
      <c r="C11" s="50" t="s">
        <v>104</v>
      </c>
      <c r="D11" s="50" t="s">
        <v>564</v>
      </c>
      <c r="E11" s="50">
        <v>0</v>
      </c>
      <c r="F11" s="52">
        <v>20000</v>
      </c>
      <c r="G11" s="52">
        <f t="shared" ref="G11:G17" si="1">E11*F11*12/100000</f>
        <v>0</v>
      </c>
    </row>
    <row r="12" spans="1:7" x14ac:dyDescent="0.25">
      <c r="A12" s="50">
        <v>9</v>
      </c>
      <c r="B12" s="51" t="s">
        <v>105</v>
      </c>
      <c r="C12" s="50" t="s">
        <v>104</v>
      </c>
      <c r="D12" s="50" t="s">
        <v>564</v>
      </c>
      <c r="E12" s="50">
        <v>0</v>
      </c>
      <c r="F12" s="52">
        <v>18000</v>
      </c>
      <c r="G12" s="52">
        <f t="shared" si="1"/>
        <v>0</v>
      </c>
    </row>
    <row r="13" spans="1:7" x14ac:dyDescent="0.25">
      <c r="A13" s="50">
        <v>10</v>
      </c>
      <c r="B13" s="51" t="s">
        <v>106</v>
      </c>
      <c r="C13" s="50" t="s">
        <v>104</v>
      </c>
      <c r="D13" s="50" t="s">
        <v>564</v>
      </c>
      <c r="E13" s="50">
        <v>1</v>
      </c>
      <c r="F13" s="52">
        <v>15000</v>
      </c>
      <c r="G13" s="52">
        <f t="shared" si="1"/>
        <v>1.8</v>
      </c>
    </row>
    <row r="14" spans="1:7" x14ac:dyDescent="0.25">
      <c r="A14" s="50">
        <v>11</v>
      </c>
      <c r="B14" s="51"/>
      <c r="C14" s="50" t="s">
        <v>104</v>
      </c>
      <c r="D14" s="50" t="s">
        <v>564</v>
      </c>
      <c r="E14" s="50"/>
      <c r="F14" s="52">
        <v>9000</v>
      </c>
      <c r="G14" s="52">
        <f t="shared" si="1"/>
        <v>0</v>
      </c>
    </row>
    <row r="15" spans="1:7" x14ac:dyDescent="0.25">
      <c r="A15" s="50">
        <v>12</v>
      </c>
      <c r="B15" s="51" t="s">
        <v>452</v>
      </c>
      <c r="C15" s="50" t="s">
        <v>104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107</v>
      </c>
      <c r="C16" s="50" t="s">
        <v>104</v>
      </c>
      <c r="D16" s="50" t="s">
        <v>564</v>
      </c>
      <c r="E16" s="50">
        <v>0</v>
      </c>
      <c r="F16" s="52">
        <v>8000</v>
      </c>
      <c r="G16" s="52">
        <f t="shared" si="1"/>
        <v>0</v>
      </c>
    </row>
    <row r="17" spans="1:11" x14ac:dyDescent="0.25">
      <c r="A17" s="50">
        <v>14</v>
      </c>
      <c r="B17" s="54" t="s">
        <v>108</v>
      </c>
      <c r="C17" s="50" t="s">
        <v>104</v>
      </c>
      <c r="D17" s="50" t="s">
        <v>564</v>
      </c>
      <c r="E17" s="50">
        <v>0</v>
      </c>
      <c r="F17" s="52">
        <v>8000</v>
      </c>
      <c r="G17" s="52">
        <f t="shared" si="1"/>
        <v>0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3</v>
      </c>
      <c r="F18" s="57"/>
      <c r="G18" s="57">
        <f>SUM(G3:G17)</f>
        <v>3.96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109</v>
      </c>
      <c r="C20" s="50" t="s">
        <v>104</v>
      </c>
      <c r="D20" s="50"/>
      <c r="E20" s="58">
        <v>7</v>
      </c>
      <c r="F20" s="59" t="s">
        <v>110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502</v>
      </c>
      <c r="J22" s="18" t="s">
        <v>503</v>
      </c>
      <c r="K22" s="18" t="s">
        <v>504</v>
      </c>
    </row>
    <row r="23" spans="1:11" x14ac:dyDescent="0.25">
      <c r="A23" s="55" t="s">
        <v>109</v>
      </c>
      <c r="B23" s="18">
        <f>+E20</f>
        <v>7</v>
      </c>
      <c r="C23" s="18">
        <f>ROUND(B23*1.1,0)</f>
        <v>8</v>
      </c>
      <c r="D23" s="18">
        <f t="shared" ref="D23:H23" si="2">ROUND(C23*1.1,0)</f>
        <v>9</v>
      </c>
      <c r="E23" s="18">
        <f t="shared" si="2"/>
        <v>10</v>
      </c>
      <c r="F23" s="18">
        <f t="shared" si="2"/>
        <v>11</v>
      </c>
      <c r="G23" s="18">
        <f t="shared" si="2"/>
        <v>12</v>
      </c>
      <c r="H23" s="18">
        <f t="shared" si="2"/>
        <v>13</v>
      </c>
      <c r="I23" s="242">
        <f>H23</f>
        <v>13</v>
      </c>
      <c r="J23" s="242">
        <f t="shared" ref="J23:K23" si="3">I23</f>
        <v>13</v>
      </c>
      <c r="K23" s="242">
        <f t="shared" si="3"/>
        <v>13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0"/>
  <sheetViews>
    <sheetView view="pageBreakPreview" topLeftCell="A24" zoomScale="85" zoomScaleNormal="100" zoomScaleSheetLayoutView="85" workbookViewId="0">
      <selection activeCell="A2" sqref="A2:L4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12" width="9.85546875" style="53" customWidth="1"/>
    <col min="13" max="13" width="12.5703125" style="53" bestFit="1" customWidth="1"/>
    <col min="14" max="14" width="7" style="53" bestFit="1" customWidth="1"/>
    <col min="15" max="15" width="14.140625" style="53" customWidth="1"/>
    <col min="16" max="16" width="4.42578125" style="53" bestFit="1" customWidth="1"/>
    <col min="17" max="17" width="12.28515625" style="53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111</v>
      </c>
      <c r="C2" s="221" t="s">
        <v>36</v>
      </c>
      <c r="D2" s="221" t="s">
        <v>37</v>
      </c>
      <c r="E2" s="221" t="s">
        <v>38</v>
      </c>
      <c r="F2" s="221" t="s">
        <v>39</v>
      </c>
      <c r="G2" s="221" t="s">
        <v>40</v>
      </c>
      <c r="H2" s="221" t="s">
        <v>41</v>
      </c>
      <c r="I2" s="221" t="s">
        <v>42</v>
      </c>
      <c r="J2" s="221" t="s">
        <v>502</v>
      </c>
      <c r="K2" s="221" t="s">
        <v>503</v>
      </c>
      <c r="L2" s="221" t="s">
        <v>504</v>
      </c>
      <c r="N2" s="297" t="s">
        <v>112</v>
      </c>
      <c r="O2" s="297"/>
      <c r="P2" s="297"/>
      <c r="Q2" s="297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298" t="s">
        <v>113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00"/>
      <c r="N4" s="51">
        <v>65</v>
      </c>
      <c r="O4" s="51">
        <v>200</v>
      </c>
      <c r="P4" s="51">
        <v>12</v>
      </c>
      <c r="Q4" s="62">
        <f>N4*O4*P4</f>
        <v>156000</v>
      </c>
    </row>
    <row r="5" spans="1:17" x14ac:dyDescent="0.2">
      <c r="A5" s="62" t="s">
        <v>114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70</v>
      </c>
      <c r="O5" s="51">
        <v>200</v>
      </c>
      <c r="P5" s="51">
        <v>12</v>
      </c>
      <c r="Q5" s="51">
        <f>N5*O5*P5</f>
        <v>168000</v>
      </c>
    </row>
    <row r="6" spans="1:17" x14ac:dyDescent="0.2">
      <c r="A6" s="51" t="s">
        <v>115</v>
      </c>
      <c r="B6" s="51" t="s">
        <v>646</v>
      </c>
      <c r="C6" s="52">
        <f>2200*12/100000</f>
        <v>0.26400000000000001</v>
      </c>
      <c r="D6" s="52">
        <f t="shared" ref="D6:I16" si="0">C6*1.05</f>
        <v>0.2772</v>
      </c>
      <c r="E6" s="52">
        <f t="shared" si="0"/>
        <v>0.29106000000000004</v>
      </c>
      <c r="F6" s="52">
        <f t="shared" si="0"/>
        <v>0.30561300000000008</v>
      </c>
      <c r="G6" s="52">
        <f t="shared" si="0"/>
        <v>0.32089365000000009</v>
      </c>
      <c r="H6" s="52">
        <f t="shared" si="0"/>
        <v>0.3369383325000001</v>
      </c>
      <c r="I6" s="52">
        <f t="shared" si="0"/>
        <v>0.35378524912500015</v>
      </c>
      <c r="J6" s="52">
        <f t="shared" ref="J6:J16" si="1">I6*1.05</f>
        <v>0.37147451158125017</v>
      </c>
      <c r="K6" s="52">
        <f t="shared" ref="K6:K16" si="2">J6*1.05</f>
        <v>0.39004823716031267</v>
      </c>
      <c r="L6" s="52">
        <f t="shared" ref="L6:L16" si="3">K6*1.05</f>
        <v>0.40955064901832833</v>
      </c>
      <c r="M6" s="63"/>
      <c r="N6" s="298" t="s">
        <v>116</v>
      </c>
      <c r="O6" s="299"/>
      <c r="P6" s="299"/>
      <c r="Q6" s="300"/>
    </row>
    <row r="7" spans="1:17" x14ac:dyDescent="0.2">
      <c r="A7" s="51" t="s">
        <v>117</v>
      </c>
      <c r="B7" s="51" t="s">
        <v>647</v>
      </c>
      <c r="C7" s="52">
        <f>1200*12/100000</f>
        <v>0.14399999999999999</v>
      </c>
      <c r="D7" s="52">
        <f t="shared" si="0"/>
        <v>0.1512</v>
      </c>
      <c r="E7" s="52">
        <f t="shared" si="0"/>
        <v>0.15876000000000001</v>
      </c>
      <c r="F7" s="52">
        <f t="shared" si="0"/>
        <v>0.16669800000000001</v>
      </c>
      <c r="G7" s="52">
        <f t="shared" si="0"/>
        <v>0.17503290000000002</v>
      </c>
      <c r="H7" s="52">
        <f t="shared" si="0"/>
        <v>0.18378454500000002</v>
      </c>
      <c r="I7" s="52">
        <f t="shared" si="0"/>
        <v>0.19297377225000004</v>
      </c>
      <c r="J7" s="52">
        <f t="shared" si="1"/>
        <v>0.20262246086250005</v>
      </c>
      <c r="K7" s="52">
        <f t="shared" si="2"/>
        <v>0.21275358390562507</v>
      </c>
      <c r="L7" s="52">
        <f t="shared" si="3"/>
        <v>0.22339126310090635</v>
      </c>
      <c r="M7" s="63"/>
      <c r="N7" s="51">
        <f>N5</f>
        <v>70</v>
      </c>
      <c r="O7" s="51"/>
      <c r="P7" s="51"/>
      <c r="Q7" s="51"/>
    </row>
    <row r="8" spans="1:17" x14ac:dyDescent="0.2">
      <c r="A8" s="51" t="s">
        <v>633</v>
      </c>
      <c r="B8" s="51" t="s">
        <v>648</v>
      </c>
      <c r="C8" s="52">
        <f>800*12/100000</f>
        <v>9.6000000000000002E-2</v>
      </c>
      <c r="D8" s="52">
        <f t="shared" ref="D8" si="4">C8*1.05</f>
        <v>0.1008</v>
      </c>
      <c r="E8" s="52">
        <f t="shared" ref="E8" si="5">D8*1.05</f>
        <v>0.10584</v>
      </c>
      <c r="F8" s="52">
        <f t="shared" ref="F8" si="6">E8*1.05</f>
        <v>0.11113200000000001</v>
      </c>
      <c r="G8" s="52">
        <f t="shared" ref="G8" si="7">F8*1.05</f>
        <v>0.11668860000000002</v>
      </c>
      <c r="H8" s="52">
        <f t="shared" ref="H8" si="8">G8*1.05</f>
        <v>0.12252303000000002</v>
      </c>
      <c r="I8" s="52">
        <f t="shared" ref="I8" si="9">H8*1.05</f>
        <v>0.12864918150000001</v>
      </c>
      <c r="J8" s="52">
        <f t="shared" ref="J8" si="10">I8*1.05</f>
        <v>0.13508164057500002</v>
      </c>
      <c r="K8" s="52">
        <f t="shared" ref="K8" si="11">J8*1.05</f>
        <v>0.14183572260375002</v>
      </c>
      <c r="L8" s="52">
        <f t="shared" ref="L8" si="12">K8*1.05</f>
        <v>0.14892750873393754</v>
      </c>
      <c r="M8" s="63"/>
      <c r="N8" s="51"/>
      <c r="O8" s="51"/>
      <c r="P8" s="51"/>
      <c r="Q8" s="51"/>
    </row>
    <row r="9" spans="1:17" x14ac:dyDescent="0.2">
      <c r="A9" s="51" t="s">
        <v>118</v>
      </c>
      <c r="B9" s="51" t="s">
        <v>119</v>
      </c>
      <c r="C9" s="52">
        <v>0.15</v>
      </c>
      <c r="D9" s="52">
        <f t="shared" si="0"/>
        <v>0.1575</v>
      </c>
      <c r="E9" s="52">
        <f t="shared" si="0"/>
        <v>0.16537500000000002</v>
      </c>
      <c r="F9" s="52">
        <f t="shared" si="0"/>
        <v>0.17364375000000004</v>
      </c>
      <c r="G9" s="52">
        <f t="shared" si="0"/>
        <v>0.18232593750000006</v>
      </c>
      <c r="H9" s="52">
        <f t="shared" si="0"/>
        <v>0.19144223437500008</v>
      </c>
      <c r="I9" s="52">
        <f t="shared" si="0"/>
        <v>0.2010143460937501</v>
      </c>
      <c r="J9" s="52">
        <f t="shared" si="1"/>
        <v>0.21106506339843761</v>
      </c>
      <c r="K9" s="52">
        <f t="shared" si="2"/>
        <v>0.22161831656835951</v>
      </c>
      <c r="L9" s="52">
        <f t="shared" si="3"/>
        <v>0.23269923239677751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120</v>
      </c>
      <c r="B10" s="51" t="s">
        <v>121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122</v>
      </c>
      <c r="B11" s="51" t="s">
        <v>123</v>
      </c>
      <c r="C11" s="52">
        <v>0</v>
      </c>
      <c r="D11" s="52">
        <f t="shared" si="0"/>
        <v>0</v>
      </c>
      <c r="E11" s="52">
        <f t="shared" si="0"/>
        <v>0</v>
      </c>
      <c r="F11" s="52">
        <f t="shared" si="0"/>
        <v>0</v>
      </c>
      <c r="G11" s="52">
        <f t="shared" si="0"/>
        <v>0</v>
      </c>
      <c r="H11" s="52">
        <f t="shared" si="0"/>
        <v>0</v>
      </c>
      <c r="I11" s="52">
        <f t="shared" si="0"/>
        <v>0</v>
      </c>
      <c r="J11" s="52">
        <f t="shared" si="1"/>
        <v>0</v>
      </c>
      <c r="K11" s="52">
        <f t="shared" si="2"/>
        <v>0</v>
      </c>
      <c r="L11" s="52">
        <f t="shared" si="3"/>
        <v>0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124</v>
      </c>
      <c r="B12" s="51" t="s">
        <v>649</v>
      </c>
      <c r="C12" s="52">
        <f>3200*12/100000</f>
        <v>0.38400000000000001</v>
      </c>
      <c r="D12" s="52">
        <f t="shared" si="0"/>
        <v>0.4032</v>
      </c>
      <c r="E12" s="52">
        <f t="shared" si="0"/>
        <v>0.42336000000000001</v>
      </c>
      <c r="F12" s="52">
        <f t="shared" si="0"/>
        <v>0.44452800000000003</v>
      </c>
      <c r="G12" s="52">
        <f t="shared" si="0"/>
        <v>0.46675440000000007</v>
      </c>
      <c r="H12" s="52">
        <f t="shared" si="0"/>
        <v>0.49009212000000008</v>
      </c>
      <c r="I12" s="52">
        <f t="shared" si="0"/>
        <v>0.51459672600000006</v>
      </c>
      <c r="J12" s="52">
        <f t="shared" si="1"/>
        <v>0.54032656230000009</v>
      </c>
      <c r="K12" s="52">
        <f t="shared" si="2"/>
        <v>0.56734289041500008</v>
      </c>
      <c r="L12" s="52">
        <f t="shared" si="3"/>
        <v>0.59571003493575014</v>
      </c>
      <c r="M12" s="63"/>
      <c r="N12" s="51">
        <v>8</v>
      </c>
      <c r="O12" s="51"/>
      <c r="P12" s="51"/>
      <c r="Q12" s="51"/>
    </row>
    <row r="13" spans="1:17" ht="25.5" x14ac:dyDescent="0.2">
      <c r="A13" s="51" t="s">
        <v>125</v>
      </c>
      <c r="B13" s="51" t="s">
        <v>126</v>
      </c>
      <c r="C13" s="52">
        <f>SUM('Manpower Schedule'!G3:G9)</f>
        <v>2.16</v>
      </c>
      <c r="D13" s="52">
        <f t="shared" si="0"/>
        <v>2.2680000000000002</v>
      </c>
      <c r="E13" s="52">
        <f t="shared" si="0"/>
        <v>2.3814000000000002</v>
      </c>
      <c r="F13" s="52">
        <f t="shared" si="0"/>
        <v>2.5004700000000004</v>
      </c>
      <c r="G13" s="52">
        <f t="shared" si="0"/>
        <v>2.6254935000000006</v>
      </c>
      <c r="H13" s="52">
        <f t="shared" si="0"/>
        <v>2.7567681750000008</v>
      </c>
      <c r="I13" s="52">
        <f t="shared" si="0"/>
        <v>2.8946065837500008</v>
      </c>
      <c r="J13" s="52">
        <f t="shared" si="1"/>
        <v>3.0393369129375007</v>
      </c>
      <c r="K13" s="52">
        <f t="shared" si="2"/>
        <v>3.1913037585843758</v>
      </c>
      <c r="L13" s="52">
        <f t="shared" si="3"/>
        <v>3.3508689465135948</v>
      </c>
      <c r="M13" s="63"/>
      <c r="N13" s="62">
        <f>N7*N9*N10*N11*N12</f>
        <v>3584.0000000000005</v>
      </c>
      <c r="O13" s="51"/>
      <c r="P13" s="51"/>
      <c r="Q13" s="51"/>
    </row>
    <row r="14" spans="1:17" x14ac:dyDescent="0.2">
      <c r="A14" s="51" t="s">
        <v>127</v>
      </c>
      <c r="B14" s="51" t="s">
        <v>650</v>
      </c>
      <c r="C14" s="52">
        <f>6000*12/100000</f>
        <v>0.72</v>
      </c>
      <c r="D14" s="52">
        <f t="shared" si="0"/>
        <v>0.75600000000000001</v>
      </c>
      <c r="E14" s="52">
        <f t="shared" si="0"/>
        <v>0.79380000000000006</v>
      </c>
      <c r="F14" s="52">
        <f t="shared" si="0"/>
        <v>0.83349000000000006</v>
      </c>
      <c r="G14" s="52">
        <f t="shared" si="0"/>
        <v>0.87516450000000012</v>
      </c>
      <c r="H14" s="52">
        <f t="shared" si="0"/>
        <v>0.91892272500000016</v>
      </c>
      <c r="I14" s="52">
        <f t="shared" si="0"/>
        <v>0.96486886125000026</v>
      </c>
      <c r="J14" s="52">
        <f t="shared" si="1"/>
        <v>1.0131123043125003</v>
      </c>
      <c r="K14" s="52">
        <f t="shared" si="2"/>
        <v>1.0637679195281253</v>
      </c>
      <c r="L14" s="52">
        <f t="shared" si="3"/>
        <v>1.1169563155045317</v>
      </c>
      <c r="M14" s="63"/>
    </row>
    <row r="15" spans="1:17" x14ac:dyDescent="0.2">
      <c r="A15" s="51" t="s">
        <v>128</v>
      </c>
      <c r="B15" s="51" t="s">
        <v>650</v>
      </c>
      <c r="C15" s="52">
        <f>6000*12/100000</f>
        <v>0.72</v>
      </c>
      <c r="D15" s="52">
        <f t="shared" si="0"/>
        <v>0.75600000000000001</v>
      </c>
      <c r="E15" s="52">
        <f t="shared" si="0"/>
        <v>0.79380000000000006</v>
      </c>
      <c r="F15" s="52">
        <f t="shared" si="0"/>
        <v>0.83349000000000006</v>
      </c>
      <c r="G15" s="52">
        <f t="shared" si="0"/>
        <v>0.87516450000000012</v>
      </c>
      <c r="H15" s="52">
        <f t="shared" si="0"/>
        <v>0.91892272500000016</v>
      </c>
      <c r="I15" s="52">
        <f t="shared" si="0"/>
        <v>0.96486886125000026</v>
      </c>
      <c r="J15" s="52">
        <f t="shared" si="1"/>
        <v>1.0131123043125003</v>
      </c>
      <c r="K15" s="52">
        <f t="shared" si="2"/>
        <v>1.0637679195281253</v>
      </c>
      <c r="L15" s="52">
        <f t="shared" si="3"/>
        <v>1.1169563155045317</v>
      </c>
      <c r="M15" s="63"/>
    </row>
    <row r="16" spans="1:17" x14ac:dyDescent="0.2">
      <c r="A16" s="51" t="s">
        <v>129</v>
      </c>
      <c r="B16" s="51" t="s">
        <v>648</v>
      </c>
      <c r="C16" s="52">
        <f>800*12/100000</f>
        <v>9.6000000000000002E-2</v>
      </c>
      <c r="D16" s="52">
        <f t="shared" si="0"/>
        <v>0.1008</v>
      </c>
      <c r="E16" s="52">
        <f t="shared" si="0"/>
        <v>0.10584</v>
      </c>
      <c r="F16" s="52">
        <f t="shared" si="0"/>
        <v>0.11113200000000001</v>
      </c>
      <c r="G16" s="52">
        <f t="shared" si="0"/>
        <v>0.11668860000000002</v>
      </c>
      <c r="H16" s="52">
        <f t="shared" si="0"/>
        <v>0.12252303000000002</v>
      </c>
      <c r="I16" s="52">
        <f t="shared" si="0"/>
        <v>0.12864918150000001</v>
      </c>
      <c r="J16" s="52">
        <f t="shared" si="1"/>
        <v>0.13508164057500002</v>
      </c>
      <c r="K16" s="52">
        <f t="shared" si="2"/>
        <v>0.14183572260375002</v>
      </c>
      <c r="L16" s="52">
        <f t="shared" si="3"/>
        <v>0.14892750873393754</v>
      </c>
      <c r="M16" s="63"/>
      <c r="O16" s="53">
        <f>N7*N9*N10</f>
        <v>44.800000000000004</v>
      </c>
    </row>
    <row r="17" spans="1:13" ht="25.5" x14ac:dyDescent="0.2">
      <c r="A17" s="51" t="s">
        <v>130</v>
      </c>
      <c r="B17" s="51" t="s">
        <v>131</v>
      </c>
      <c r="C17" s="52">
        <f t="shared" ref="C17:I17" si="13">C13*0.1</f>
        <v>0.21600000000000003</v>
      </c>
      <c r="D17" s="52">
        <f t="shared" si="13"/>
        <v>0.22680000000000003</v>
      </c>
      <c r="E17" s="52">
        <f t="shared" si="13"/>
        <v>0.23814000000000002</v>
      </c>
      <c r="F17" s="52">
        <f t="shared" si="13"/>
        <v>0.25004700000000007</v>
      </c>
      <c r="G17" s="52">
        <f t="shared" si="13"/>
        <v>0.26254935000000007</v>
      </c>
      <c r="H17" s="52">
        <f t="shared" si="13"/>
        <v>0.27567681750000012</v>
      </c>
      <c r="I17" s="52">
        <f t="shared" si="13"/>
        <v>0.28946065837500007</v>
      </c>
      <c r="J17" s="52">
        <f t="shared" ref="J17:L17" si="14">J13*0.1</f>
        <v>0.30393369129375009</v>
      </c>
      <c r="K17" s="52">
        <f t="shared" si="14"/>
        <v>0.31913037585843762</v>
      </c>
      <c r="L17" s="52">
        <f t="shared" si="14"/>
        <v>0.33508689465135949</v>
      </c>
      <c r="M17" s="63"/>
    </row>
    <row r="18" spans="1:13" ht="25.5" x14ac:dyDescent="0.2">
      <c r="A18" s="62" t="s">
        <v>132</v>
      </c>
      <c r="B18" s="62"/>
      <c r="C18" s="64">
        <f>SUM(C6:C17)</f>
        <v>5.07</v>
      </c>
      <c r="D18" s="64">
        <f t="shared" ref="D18:I18" si="15">SUM(D6:D17)</f>
        <v>5.3235000000000001</v>
      </c>
      <c r="E18" s="64">
        <f t="shared" si="15"/>
        <v>5.5896749999999997</v>
      </c>
      <c r="F18" s="64">
        <f t="shared" si="15"/>
        <v>5.8691587500000022</v>
      </c>
      <c r="G18" s="64">
        <f t="shared" si="15"/>
        <v>6.1626166875000017</v>
      </c>
      <c r="H18" s="64">
        <f t="shared" si="15"/>
        <v>6.4707475218750004</v>
      </c>
      <c r="I18" s="64">
        <f t="shared" si="15"/>
        <v>6.794284897968752</v>
      </c>
      <c r="J18" s="64">
        <f t="shared" ref="J18:L18" si="16">SUM(J6:J17)</f>
        <v>7.1339991428671885</v>
      </c>
      <c r="K18" s="64">
        <f t="shared" si="16"/>
        <v>7.4906991000105485</v>
      </c>
      <c r="L18" s="64">
        <f t="shared" si="16"/>
        <v>7.8652340550110775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133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x14ac:dyDescent="0.2">
      <c r="A22" s="51" t="s">
        <v>134</v>
      </c>
      <c r="B22" s="51" t="s">
        <v>651</v>
      </c>
      <c r="C22" s="52">
        <f>3500*12/100000</f>
        <v>0.42</v>
      </c>
      <c r="D22" s="52">
        <f t="shared" ref="D22:I25" si="17">C22*1.05</f>
        <v>0.441</v>
      </c>
      <c r="E22" s="52">
        <f t="shared" si="17"/>
        <v>0.46305000000000002</v>
      </c>
      <c r="F22" s="52">
        <f t="shared" si="17"/>
        <v>0.48620250000000004</v>
      </c>
      <c r="G22" s="52">
        <f t="shared" si="17"/>
        <v>0.51051262500000005</v>
      </c>
      <c r="H22" s="52">
        <f t="shared" si="17"/>
        <v>0.53603825625000012</v>
      </c>
      <c r="I22" s="52">
        <f t="shared" si="17"/>
        <v>0.56284016906250012</v>
      </c>
      <c r="J22" s="52">
        <f t="shared" ref="J22:J25" si="18">I22*1.05</f>
        <v>0.5909821775156251</v>
      </c>
      <c r="K22" s="52">
        <f t="shared" ref="K22:K25" si="19">J22*1.05</f>
        <v>0.62053128639140642</v>
      </c>
      <c r="L22" s="52">
        <f t="shared" ref="L22:L25" si="20">K22*1.05</f>
        <v>0.65155785071097672</v>
      </c>
    </row>
    <row r="23" spans="1:13" ht="38.25" x14ac:dyDescent="0.2">
      <c r="A23" s="51" t="s">
        <v>135</v>
      </c>
      <c r="B23" s="51" t="s">
        <v>136</v>
      </c>
      <c r="C23" s="52">
        <f>('Project Glance'!B6+'Project Glance'!B8+'Project Glance'!B9+'Project Glance'!B11+'Project Glance'!B7)*0.5%</f>
        <v>0.435</v>
      </c>
      <c r="D23" s="52">
        <f t="shared" si="17"/>
        <v>0.45674999999999999</v>
      </c>
      <c r="E23" s="52">
        <f t="shared" si="17"/>
        <v>0.4795875</v>
      </c>
      <c r="F23" s="52">
        <f t="shared" si="17"/>
        <v>0.50356687499999997</v>
      </c>
      <c r="G23" s="52">
        <f t="shared" si="17"/>
        <v>0.52874521875000002</v>
      </c>
      <c r="H23" s="52">
        <f t="shared" si="17"/>
        <v>0.55518247968750001</v>
      </c>
      <c r="I23" s="52">
        <f t="shared" si="17"/>
        <v>0.58294160367187509</v>
      </c>
      <c r="J23" s="52">
        <f t="shared" si="18"/>
        <v>0.61208868385546888</v>
      </c>
      <c r="K23" s="52">
        <f t="shared" si="19"/>
        <v>0.64269311804824236</v>
      </c>
      <c r="L23" s="52">
        <f t="shared" si="20"/>
        <v>0.67482777395065452</v>
      </c>
    </row>
    <row r="24" spans="1:13" ht="25.5" x14ac:dyDescent="0.2">
      <c r="A24" s="51" t="s">
        <v>137</v>
      </c>
      <c r="B24" s="51" t="s">
        <v>138</v>
      </c>
      <c r="C24" s="52">
        <f>SUM('Manpower Schedule'!G11:G17)</f>
        <v>1.8</v>
      </c>
      <c r="D24" s="52">
        <f t="shared" si="17"/>
        <v>1.8900000000000001</v>
      </c>
      <c r="E24" s="52">
        <f t="shared" si="17"/>
        <v>1.9845000000000002</v>
      </c>
      <c r="F24" s="52">
        <f t="shared" si="17"/>
        <v>2.0837250000000003</v>
      </c>
      <c r="G24" s="52">
        <f t="shared" si="17"/>
        <v>2.1879112500000004</v>
      </c>
      <c r="H24" s="52">
        <f t="shared" si="17"/>
        <v>2.2973068125000005</v>
      </c>
      <c r="I24" s="52">
        <f t="shared" si="17"/>
        <v>2.4121721531250007</v>
      </c>
      <c r="J24" s="52">
        <f t="shared" si="18"/>
        <v>2.5327807607812507</v>
      </c>
      <c r="K24" s="52">
        <f t="shared" si="19"/>
        <v>2.6594197988203132</v>
      </c>
      <c r="L24" s="52">
        <f t="shared" si="20"/>
        <v>2.7923907887613288</v>
      </c>
    </row>
    <row r="25" spans="1:13" ht="25.5" x14ac:dyDescent="0.2">
      <c r="A25" s="51" t="s">
        <v>139</v>
      </c>
      <c r="B25" s="51" t="s">
        <v>622</v>
      </c>
      <c r="C25" s="52">
        <f>Q5/100000</f>
        <v>1.68</v>
      </c>
      <c r="D25" s="52">
        <f t="shared" si="17"/>
        <v>1.764</v>
      </c>
      <c r="E25" s="52">
        <f t="shared" si="17"/>
        <v>1.8522000000000001</v>
      </c>
      <c r="F25" s="52">
        <f t="shared" si="17"/>
        <v>1.9448100000000001</v>
      </c>
      <c r="G25" s="52">
        <f t="shared" si="17"/>
        <v>2.0420505000000002</v>
      </c>
      <c r="H25" s="52">
        <f t="shared" si="17"/>
        <v>2.1441530250000005</v>
      </c>
      <c r="I25" s="52">
        <f t="shared" si="17"/>
        <v>2.2513606762500005</v>
      </c>
      <c r="J25" s="52">
        <f t="shared" si="18"/>
        <v>2.3639287100625004</v>
      </c>
      <c r="K25" s="52">
        <f t="shared" si="19"/>
        <v>2.4821251455656257</v>
      </c>
      <c r="L25" s="52">
        <f t="shared" si="20"/>
        <v>2.6062314028439069</v>
      </c>
    </row>
    <row r="26" spans="1:13" ht="38.25" hidden="1" x14ac:dyDescent="0.2">
      <c r="A26" s="51" t="s">
        <v>462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140</v>
      </c>
      <c r="B27" s="62"/>
      <c r="C27" s="66">
        <f>SUM(C22:C25)</f>
        <v>4.335</v>
      </c>
      <c r="D27" s="66">
        <f t="shared" ref="D27:L27" si="21">SUM(D22:D25)</f>
        <v>4.5517500000000002</v>
      </c>
      <c r="E27" s="66">
        <f t="shared" si="21"/>
        <v>4.7793375000000005</v>
      </c>
      <c r="F27" s="66">
        <f t="shared" si="21"/>
        <v>5.0183043750000005</v>
      </c>
      <c r="G27" s="66">
        <f t="shared" si="21"/>
        <v>5.2692195937500008</v>
      </c>
      <c r="H27" s="66">
        <f t="shared" si="21"/>
        <v>5.5326805734375011</v>
      </c>
      <c r="I27" s="66">
        <f t="shared" si="21"/>
        <v>5.8093146021093762</v>
      </c>
      <c r="J27" s="66">
        <f t="shared" si="21"/>
        <v>6.0997803322148449</v>
      </c>
      <c r="K27" s="66">
        <f t="shared" si="21"/>
        <v>6.404769348825587</v>
      </c>
      <c r="L27" s="66">
        <f t="shared" si="21"/>
        <v>6.7250078162668672</v>
      </c>
    </row>
    <row r="28" spans="1:13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3" x14ac:dyDescent="0.2">
      <c r="A29" s="298" t="s">
        <v>141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300"/>
    </row>
    <row r="30" spans="1:13" ht="25.5" x14ac:dyDescent="0.2">
      <c r="A30" s="51" t="s">
        <v>142</v>
      </c>
      <c r="B30" s="51" t="s">
        <v>143</v>
      </c>
      <c r="C30" s="52">
        <f>'Manpower Schedule'!B23*300*'Output Schedule'!B37/100000</f>
        <v>2.8559999999999999</v>
      </c>
      <c r="D30" s="52">
        <f>'Manpower Schedule'!C23*300*'Output Schedule'!C37/100000</f>
        <v>3.6</v>
      </c>
      <c r="E30" s="52">
        <f>'Manpower Schedule'!D23*300*'Output Schedule'!D37/100000</f>
        <v>4.4820000000000002</v>
      </c>
      <c r="F30" s="52">
        <f>'Manpower Schedule'!E23*300*'Output Schedule'!E37/100000</f>
        <v>5.4</v>
      </c>
      <c r="G30" s="52">
        <f>'Manpower Schedule'!F23*300*'Output Schedule'!F37/100000</f>
        <v>6.468</v>
      </c>
      <c r="H30" s="52">
        <f>'Manpower Schedule'!G23*300*'Output Schedule'!G37/100000</f>
        <v>7.56</v>
      </c>
      <c r="I30" s="52">
        <f>'Manpower Schedule'!H23*300*'Output Schedule'!H37/100000</f>
        <v>8.8140000000000001</v>
      </c>
      <c r="J30" s="52">
        <f>'Manpower Schedule'!I23*300*'Output Schedule'!I37/100000</f>
        <v>8.8140000000000001</v>
      </c>
      <c r="K30" s="52">
        <f>'Manpower Schedule'!J23*300*'Output Schedule'!J37/100000</f>
        <v>9.36</v>
      </c>
      <c r="L30" s="52">
        <f>'Manpower Schedule'!K23*300*'Output Schedule'!K37/100000</f>
        <v>9.984</v>
      </c>
      <c r="M30" s="53">
        <f>7*300*136</f>
        <v>285600</v>
      </c>
    </row>
    <row r="31" spans="1:13" ht="25.5" x14ac:dyDescent="0.2">
      <c r="A31" s="54" t="s">
        <v>139</v>
      </c>
      <c r="B31" s="51" t="s">
        <v>622</v>
      </c>
      <c r="C31" s="52">
        <f>$N$13*'Output Schedule'!B37/100000</f>
        <v>4.8742400000000004</v>
      </c>
      <c r="D31" s="52">
        <f>$N$13*'Output Schedule'!C37/100000</f>
        <v>5.3760000000000012</v>
      </c>
      <c r="E31" s="52">
        <f>$N$13*'Output Schedule'!D37/100000</f>
        <v>5.9494400000000009</v>
      </c>
      <c r="F31" s="52">
        <f>$N$13*'Output Schedule'!E37/100000</f>
        <v>6.4512000000000009</v>
      </c>
      <c r="G31" s="52">
        <f>$N$13*'Output Schedule'!F37/100000</f>
        <v>7.0246400000000015</v>
      </c>
      <c r="H31" s="52">
        <f>$N$13*'Output Schedule'!G37/100000</f>
        <v>7.5264000000000015</v>
      </c>
      <c r="I31" s="52">
        <f>$N$13*'Output Schedule'!H37/100000</f>
        <v>8.0998400000000004</v>
      </c>
      <c r="J31" s="52">
        <f>$N$13*'Output Schedule'!I37/100000</f>
        <v>8.0998400000000004</v>
      </c>
      <c r="K31" s="52">
        <f>$N$13*'Output Schedule'!J37/100000</f>
        <v>8.6016000000000012</v>
      </c>
      <c r="L31" s="52">
        <f>$N$13*'Output Schedule'!K37/100000</f>
        <v>9.175040000000001</v>
      </c>
    </row>
    <row r="32" spans="1:13" x14ac:dyDescent="0.2">
      <c r="A32" s="54" t="s">
        <v>145</v>
      </c>
      <c r="B32" s="54" t="s">
        <v>146</v>
      </c>
      <c r="C32" s="52">
        <f>50*'Output Schedule'!B37/100000</f>
        <v>6.8000000000000005E-2</v>
      </c>
      <c r="D32" s="52">
        <f>50*'Output Schedule'!C37/100000</f>
        <v>7.4999999999999997E-2</v>
      </c>
      <c r="E32" s="52">
        <f>50*'Output Schedule'!D37/100000</f>
        <v>8.3000000000000004E-2</v>
      </c>
      <c r="F32" s="52">
        <f>50*'Output Schedule'!E37/100000</f>
        <v>0.09</v>
      </c>
      <c r="G32" s="52">
        <f>50*'Output Schedule'!F37/100000</f>
        <v>9.8000000000000004E-2</v>
      </c>
      <c r="H32" s="52">
        <f>50*'Output Schedule'!G37/100000</f>
        <v>0.105</v>
      </c>
      <c r="I32" s="52">
        <f>50*'Output Schedule'!H37/100000</f>
        <v>0.113</v>
      </c>
      <c r="J32" s="52">
        <f>50*'Output Schedule'!I37/100000</f>
        <v>0.113</v>
      </c>
      <c r="K32" s="52">
        <f>50*'Output Schedule'!J37/100000</f>
        <v>0.12</v>
      </c>
      <c r="L32" s="52">
        <f>50*'Output Schedule'!K37/100000</f>
        <v>0.128</v>
      </c>
    </row>
    <row r="33" spans="1:17" ht="26.25" x14ac:dyDescent="0.25">
      <c r="A33" s="51" t="s">
        <v>147</v>
      </c>
      <c r="B33" s="67" t="s">
        <v>148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/>
    </row>
    <row r="34" spans="1:17" ht="15" x14ac:dyDescent="0.25">
      <c r="A34" s="54" t="s">
        <v>149</v>
      </c>
      <c r="B34" s="67" t="s">
        <v>150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/>
      <c r="O34" s="68"/>
      <c r="P34" s="68"/>
      <c r="Q34" s="68"/>
    </row>
    <row r="35" spans="1:17" ht="39" x14ac:dyDescent="0.25">
      <c r="A35" s="51" t="s">
        <v>151</v>
      </c>
      <c r="B35" s="69" t="s">
        <v>152</v>
      </c>
      <c r="C35" s="52">
        <f>800*'Manpower Schedule'!B23/100000</f>
        <v>5.6000000000000001E-2</v>
      </c>
      <c r="D35" s="52">
        <f>800*'Manpower Schedule'!C23/100000</f>
        <v>6.4000000000000001E-2</v>
      </c>
      <c r="E35" s="52">
        <f>800*'Manpower Schedule'!D23/100000</f>
        <v>7.1999999999999995E-2</v>
      </c>
      <c r="F35" s="52">
        <f>800*'Manpower Schedule'!E23/100000</f>
        <v>0.08</v>
      </c>
      <c r="G35" s="52">
        <f>800*'Manpower Schedule'!F23/100000</f>
        <v>8.7999999999999995E-2</v>
      </c>
      <c r="H35" s="52">
        <f>800*'Manpower Schedule'!G23/100000</f>
        <v>9.6000000000000002E-2</v>
      </c>
      <c r="I35" s="52">
        <f>800*'Manpower Schedule'!H23/100000</f>
        <v>0.104</v>
      </c>
      <c r="J35" s="52">
        <f>800*'Manpower Schedule'!I23/100000</f>
        <v>0.104</v>
      </c>
      <c r="K35" s="52">
        <f>800*'Manpower Schedule'!J23/100000</f>
        <v>0.104</v>
      </c>
      <c r="L35" s="52">
        <f>800*'Manpower Schedule'!K23/100000</f>
        <v>0.104</v>
      </c>
      <c r="M35"/>
      <c r="O35" s="68"/>
      <c r="P35" s="68"/>
      <c r="Q35" s="68"/>
    </row>
    <row r="36" spans="1:17" ht="26.25" x14ac:dyDescent="0.25">
      <c r="A36" s="51" t="s">
        <v>168</v>
      </c>
      <c r="B36" s="67" t="s">
        <v>632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/>
      <c r="O36" s="68"/>
      <c r="P36" s="68"/>
      <c r="Q36" s="68"/>
    </row>
    <row r="37" spans="1:17" ht="15" x14ac:dyDescent="0.25">
      <c r="A37" s="54" t="s">
        <v>169</v>
      </c>
      <c r="B37" s="67" t="s">
        <v>153</v>
      </c>
      <c r="C37" s="52">
        <f>500*'Output Schedule'!B17/100000</f>
        <v>6.75</v>
      </c>
      <c r="D37" s="52">
        <f>500*'Output Schedule'!C17/100000</f>
        <v>7.5</v>
      </c>
      <c r="E37" s="52">
        <f>500*'Output Schedule'!D17/100000</f>
        <v>8.2500000000000018</v>
      </c>
      <c r="F37" s="52">
        <f>500*'Output Schedule'!E17/100000</f>
        <v>9</v>
      </c>
      <c r="G37" s="52">
        <f>500*'Output Schedule'!F17/100000</f>
        <v>9.75</v>
      </c>
      <c r="H37" s="52">
        <f>500*'Output Schedule'!G17/100000</f>
        <v>10.5</v>
      </c>
      <c r="I37" s="52">
        <f>500*'Output Schedule'!H17/100000</f>
        <v>11.25</v>
      </c>
      <c r="J37" s="52">
        <f>500*'Output Schedule'!I17/100000</f>
        <v>11.25</v>
      </c>
      <c r="K37" s="52">
        <f>500*'Output Schedule'!J17/100000</f>
        <v>12</v>
      </c>
      <c r="L37" s="52">
        <f>500*'Output Schedule'!K17/100000</f>
        <v>12.750000000000002</v>
      </c>
      <c r="M37"/>
      <c r="O37" s="68"/>
      <c r="P37" s="68"/>
      <c r="Q37" s="68"/>
    </row>
    <row r="38" spans="1:17" ht="15" x14ac:dyDescent="0.25">
      <c r="A38" s="51" t="s">
        <v>154</v>
      </c>
      <c r="B38" s="69" t="s">
        <v>110</v>
      </c>
      <c r="C38" s="52">
        <f>300*'Output Schedule'!B37/100000</f>
        <v>0.40799999999999997</v>
      </c>
      <c r="D38" s="52">
        <f>300*'Output Schedule'!C37/100000</f>
        <v>0.45</v>
      </c>
      <c r="E38" s="52">
        <f>300*'Output Schedule'!D37/100000</f>
        <v>0.498</v>
      </c>
      <c r="F38" s="52">
        <f>300*'Output Schedule'!E37/100000</f>
        <v>0.54</v>
      </c>
      <c r="G38" s="52">
        <f>300*'Output Schedule'!F37/100000</f>
        <v>0.58799999999999997</v>
      </c>
      <c r="H38" s="52">
        <f>300*'Output Schedule'!G37/100000</f>
        <v>0.63</v>
      </c>
      <c r="I38" s="52">
        <f>300*'Output Schedule'!H37/100000</f>
        <v>0.67800000000000005</v>
      </c>
      <c r="J38" s="52">
        <f>300*'Output Schedule'!I37/100000</f>
        <v>0.67800000000000005</v>
      </c>
      <c r="K38" s="52">
        <f>300*'Output Schedule'!J37/100000</f>
        <v>0.72</v>
      </c>
      <c r="L38" s="52">
        <f>300*'Output Schedule'!K37/100000</f>
        <v>0.76800000000000002</v>
      </c>
      <c r="M38"/>
      <c r="O38" s="68"/>
      <c r="P38" s="68"/>
      <c r="Q38" s="68"/>
    </row>
    <row r="39" spans="1:17" ht="15" x14ac:dyDescent="0.25">
      <c r="A39" s="51" t="s">
        <v>155</v>
      </c>
      <c r="B39" s="69" t="s">
        <v>156</v>
      </c>
      <c r="C39" s="52">
        <f>300*('Sales Schedule'!C2+'Sales Schedule'!C6+'Sales Schedule'!C10)/100000</f>
        <v>3.8010000000000002</v>
      </c>
      <c r="D39" s="52">
        <f>300*('Sales Schedule'!D2+'Sales Schedule'!D6+'Sales Schedule'!D10)/100000</f>
        <v>4.3559999999999999</v>
      </c>
      <c r="E39" s="52">
        <f>300*('Sales Schedule'!E2+'Sales Schedule'!E6+'Sales Schedule'!E10)/100000</f>
        <v>4.7850000000000001</v>
      </c>
      <c r="F39" s="52">
        <f>300*('Sales Schedule'!F2+'Sales Schedule'!F6+'Sales Schedule'!F10)/100000</f>
        <v>5.2169999999999996</v>
      </c>
      <c r="G39" s="52">
        <f>300*('Sales Schedule'!G2+'Sales Schedule'!G6+'Sales Schedule'!G10)/100000</f>
        <v>5.6550000000000002</v>
      </c>
      <c r="H39" s="52">
        <f>300*('Sales Schedule'!H2+'Sales Schedule'!H6+'Sales Schedule'!H10)/100000</f>
        <v>6.0960000000000001</v>
      </c>
      <c r="I39" s="52">
        <f>300*('Sales Schedule'!I2+'Sales Schedule'!I6+'Sales Schedule'!I10)/100000</f>
        <v>6.5309999999999997</v>
      </c>
      <c r="J39" s="52">
        <f>300*('Sales Schedule'!J2+'Sales Schedule'!J6+'Sales Schedule'!J10)/100000</f>
        <v>6.5490000000000004</v>
      </c>
      <c r="K39" s="52">
        <f>300*('Sales Schedule'!K2+'Sales Schedule'!K6+'Sales Schedule'!K10)/100000</f>
        <v>6.9630000000000001</v>
      </c>
      <c r="L39" s="52">
        <f>300*('Sales Schedule'!L2+'Sales Schedule'!L6+'Sales Schedule'!L10)/100000</f>
        <v>7.4039999999999999</v>
      </c>
      <c r="M39"/>
      <c r="O39" s="68"/>
      <c r="P39" s="68"/>
      <c r="Q39" s="68"/>
    </row>
    <row r="40" spans="1:17" ht="15" x14ac:dyDescent="0.25">
      <c r="A40" s="51" t="s">
        <v>157</v>
      </c>
      <c r="B40" s="69" t="s">
        <v>110</v>
      </c>
      <c r="C40" s="52">
        <f>300*'Output Schedule'!B37/100000</f>
        <v>0.40799999999999997</v>
      </c>
      <c r="D40" s="52">
        <f>300*'Output Schedule'!C37/100000</f>
        <v>0.45</v>
      </c>
      <c r="E40" s="52">
        <f>300*'Output Schedule'!D37/100000</f>
        <v>0.498</v>
      </c>
      <c r="F40" s="52">
        <f>300*'Output Schedule'!E37/100000</f>
        <v>0.54</v>
      </c>
      <c r="G40" s="52">
        <f>300*'Output Schedule'!F37/100000</f>
        <v>0.58799999999999997</v>
      </c>
      <c r="H40" s="52">
        <f>300*'Output Schedule'!G37/100000</f>
        <v>0.63</v>
      </c>
      <c r="I40" s="52">
        <f>300*'Output Schedule'!H37/100000</f>
        <v>0.67800000000000005</v>
      </c>
      <c r="J40" s="52">
        <f>300*'Output Schedule'!I37/100000</f>
        <v>0.67800000000000005</v>
      </c>
      <c r="K40" s="52">
        <f>300*'Output Schedule'!J37/100000</f>
        <v>0.72</v>
      </c>
      <c r="L40" s="52">
        <f>300*'Output Schedule'!K37/100000</f>
        <v>0.76800000000000002</v>
      </c>
      <c r="M40"/>
      <c r="O40" s="68"/>
      <c r="P40" s="68"/>
      <c r="Q40" s="68"/>
    </row>
    <row r="41" spans="1:17" ht="15" x14ac:dyDescent="0.25">
      <c r="A41" s="51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/>
      <c r="O41" s="68"/>
      <c r="P41" s="68"/>
      <c r="Q41" s="68"/>
    </row>
    <row r="42" spans="1:17" x14ac:dyDescent="0.2">
      <c r="A42" s="62" t="s">
        <v>158</v>
      </c>
      <c r="B42" s="62"/>
      <c r="C42" s="66">
        <f>SUM(C30:C41)</f>
        <v>19.221240000000002</v>
      </c>
      <c r="D42" s="66">
        <f t="shared" ref="D42:L42" si="22">SUM(D30:D41)</f>
        <v>21.870999999999999</v>
      </c>
      <c r="E42" s="66">
        <f t="shared" si="22"/>
        <v>24.617440000000006</v>
      </c>
      <c r="F42" s="66">
        <f t="shared" si="22"/>
        <v>27.318199999999997</v>
      </c>
      <c r="G42" s="66">
        <f t="shared" si="22"/>
        <v>30.259640000000005</v>
      </c>
      <c r="H42" s="66">
        <f t="shared" si="22"/>
        <v>33.143400000000007</v>
      </c>
      <c r="I42" s="66">
        <f t="shared" si="22"/>
        <v>36.26784</v>
      </c>
      <c r="J42" s="66">
        <f t="shared" si="22"/>
        <v>36.28584</v>
      </c>
      <c r="K42" s="66">
        <f t="shared" si="22"/>
        <v>38.5886</v>
      </c>
      <c r="L42" s="66">
        <f t="shared" si="22"/>
        <v>41.081040000000002</v>
      </c>
      <c r="O42" s="68"/>
      <c r="P42" s="68"/>
      <c r="Q42" s="68"/>
    </row>
    <row r="43" spans="1:17" x14ac:dyDescent="0.2">
      <c r="O43" s="68"/>
      <c r="P43" s="68"/>
      <c r="Q43" s="68"/>
    </row>
    <row r="44" spans="1:17" x14ac:dyDescent="0.2">
      <c r="O44" s="68"/>
      <c r="P44" s="68"/>
      <c r="Q44" s="68"/>
    </row>
    <row r="45" spans="1:17" x14ac:dyDescent="0.2">
      <c r="O45" s="68"/>
      <c r="P45" s="68"/>
      <c r="Q45" s="68"/>
    </row>
    <row r="46" spans="1:17" x14ac:dyDescent="0.2">
      <c r="M46" s="70"/>
      <c r="O46" s="68"/>
      <c r="P46" s="68"/>
      <c r="Q46" s="68"/>
    </row>
    <row r="47" spans="1:17" x14ac:dyDescent="0.2">
      <c r="O47" s="68"/>
      <c r="P47" s="68"/>
      <c r="Q47" s="68"/>
    </row>
    <row r="48" spans="1:17" x14ac:dyDescent="0.2">
      <c r="O48" s="68"/>
      <c r="P48" s="68"/>
      <c r="Q48" s="68"/>
    </row>
    <row r="49" spans="15:17" x14ac:dyDescent="0.2">
      <c r="O49" s="68"/>
      <c r="P49" s="68"/>
      <c r="Q49" s="68"/>
    </row>
    <row r="50" spans="15:17" x14ac:dyDescent="0.2">
      <c r="O50" s="68"/>
      <c r="P50" s="68"/>
      <c r="Q50" s="68"/>
    </row>
    <row r="51" spans="15:17" x14ac:dyDescent="0.2">
      <c r="O51" s="68"/>
      <c r="P51" s="68"/>
      <c r="Q51" s="68"/>
    </row>
    <row r="52" spans="15:17" x14ac:dyDescent="0.2">
      <c r="O52" s="68"/>
      <c r="P52" s="68"/>
      <c r="Q52" s="68"/>
    </row>
    <row r="53" spans="15:17" x14ac:dyDescent="0.2">
      <c r="O53" s="68"/>
      <c r="P53" s="68"/>
      <c r="Q53" s="68"/>
    </row>
    <row r="54" spans="15:17" x14ac:dyDescent="0.2">
      <c r="O54" s="68"/>
      <c r="P54" s="68"/>
      <c r="Q54" s="68"/>
    </row>
    <row r="55" spans="15:17" x14ac:dyDescent="0.2">
      <c r="O55" s="68"/>
      <c r="P55" s="68"/>
      <c r="Q55" s="68"/>
    </row>
    <row r="56" spans="15:17" x14ac:dyDescent="0.2">
      <c r="O56" s="68"/>
      <c r="P56" s="68"/>
      <c r="Q56" s="68"/>
    </row>
    <row r="57" spans="15:17" x14ac:dyDescent="0.2">
      <c r="O57" s="68"/>
      <c r="P57" s="68"/>
      <c r="Q57" s="68"/>
    </row>
    <row r="58" spans="15:17" x14ac:dyDescent="0.2">
      <c r="O58" s="68"/>
      <c r="P58" s="68"/>
      <c r="Q58" s="68"/>
    </row>
    <row r="59" spans="15:17" s="70" customFormat="1" x14ac:dyDescent="0.2">
      <c r="O59" s="68"/>
      <c r="P59" s="68"/>
      <c r="Q59" s="68"/>
    </row>
    <row r="60" spans="15:17" x14ac:dyDescent="0.2">
      <c r="O60" s="68"/>
      <c r="P60" s="68"/>
      <c r="Q60" s="68"/>
    </row>
  </sheetData>
  <mergeCells count="4">
    <mergeCell ref="N2:Q2"/>
    <mergeCell ref="N6:Q6"/>
    <mergeCell ref="A4:L4"/>
    <mergeCell ref="A29:L29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01" t="s">
        <v>434</v>
      </c>
      <c r="B1" s="301"/>
      <c r="C1" s="301"/>
      <c r="D1" s="301"/>
      <c r="E1" s="301"/>
      <c r="F1" s="301"/>
      <c r="G1" s="301"/>
      <c r="H1" s="301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141</v>
      </c>
      <c r="B4" s="72">
        <f>'P&amp;L'!B25</f>
        <v>19.221240000000002</v>
      </c>
      <c r="C4" s="72">
        <f>'P&amp;L'!C25</f>
        <v>21.870999999999999</v>
      </c>
      <c r="D4" s="72">
        <f>'P&amp;L'!D25</f>
        <v>24.617440000000006</v>
      </c>
      <c r="E4" s="72">
        <f>'P&amp;L'!E25</f>
        <v>27.318199999999997</v>
      </c>
      <c r="F4" s="72">
        <f>'P&amp;L'!F25</f>
        <v>30.259640000000005</v>
      </c>
      <c r="G4" s="72">
        <f>'P&amp;L'!G25</f>
        <v>33.143400000000007</v>
      </c>
      <c r="H4" s="72">
        <f>'P&amp;L'!H25</f>
        <v>36.26784</v>
      </c>
    </row>
    <row r="5" spans="1:8" x14ac:dyDescent="0.25">
      <c r="A5" s="36" t="s">
        <v>113</v>
      </c>
      <c r="B5" s="73">
        <f>'P&amp;L'!B23</f>
        <v>9.4050000000000011</v>
      </c>
      <c r="C5" s="73">
        <f>'P&amp;L'!C23</f>
        <v>9.8752500000000012</v>
      </c>
      <c r="D5" s="73">
        <f>'P&amp;L'!D23</f>
        <v>10.3690125</v>
      </c>
      <c r="E5" s="73">
        <f>'P&amp;L'!E23</f>
        <v>10.887463125000004</v>
      </c>
      <c r="F5" s="73">
        <f>'P&amp;L'!F23</f>
        <v>11.431836281250003</v>
      </c>
      <c r="G5" s="73">
        <f>'P&amp;L'!G23</f>
        <v>12.003428095312501</v>
      </c>
      <c r="H5" s="73">
        <f>'P&amp;L'!H23</f>
        <v>12.603599500078129</v>
      </c>
    </row>
    <row r="6" spans="1:8" hidden="1" x14ac:dyDescent="0.25">
      <c r="A6" s="36" t="s">
        <v>436</v>
      </c>
      <c r="B6" s="73">
        <f>'Purchase Schedule'!B6</f>
        <v>635.51199999999994</v>
      </c>
      <c r="C6" s="73">
        <f>'Purchase Schedule'!C6</f>
        <v>715.22220000000004</v>
      </c>
      <c r="D6" s="73">
        <f>'Purchase Schedule'!D6</f>
        <v>825.1848</v>
      </c>
      <c r="E6" s="73">
        <f>'Purchase Schedule'!E6</f>
        <v>944.89919999999995</v>
      </c>
      <c r="F6" s="73">
        <f>'Purchase Schedule'!F6</f>
        <v>1074.6264000000001</v>
      </c>
      <c r="G6" s="73">
        <f>'Purchase Schedule'!G6</f>
        <v>1215.5282999999999</v>
      </c>
      <c r="H6" s="73">
        <f>'Purchase Schedule'!H6</f>
        <v>1366.4592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435</v>
      </c>
      <c r="B8" s="44">
        <f>(B4+B5)/12</f>
        <v>2.3855200000000001</v>
      </c>
      <c r="C8" s="44">
        <f t="shared" ref="C8:H8" si="0">(C4+C5)/12</f>
        <v>2.6455208333333333</v>
      </c>
      <c r="D8" s="44">
        <f t="shared" si="0"/>
        <v>2.9155377083333338</v>
      </c>
      <c r="E8" s="44">
        <f t="shared" si="0"/>
        <v>3.1838052604166669</v>
      </c>
      <c r="F8" s="44">
        <f t="shared" si="0"/>
        <v>3.4742896901041669</v>
      </c>
      <c r="G8" s="44">
        <f t="shared" si="0"/>
        <v>3.7622356746093755</v>
      </c>
      <c r="H8" s="44">
        <f t="shared" si="0"/>
        <v>4.0726199583398435</v>
      </c>
    </row>
    <row r="9" spans="1:8" x14ac:dyDescent="0.25">
      <c r="A9" s="36" t="s">
        <v>465</v>
      </c>
      <c r="B9" s="44">
        <f>'CS-RM'!B16+'CS-FG'!C52</f>
        <v>52.572000000000003</v>
      </c>
      <c r="C9" s="44">
        <f>'CS-RM'!C16+'CS-FG'!D52</f>
        <v>60.885300000000001</v>
      </c>
      <c r="D9" s="44">
        <f>'CS-RM'!D16+'CS-FG'!E52</f>
        <v>70.228200000000001</v>
      </c>
      <c r="E9" s="44">
        <f>'CS-RM'!E16+'CS-FG'!F52</f>
        <v>80.781700000000001</v>
      </c>
      <c r="F9" s="44">
        <f>'CS-RM'!F16+'CS-FG'!G52</f>
        <v>91.763800000000003</v>
      </c>
      <c r="G9" s="44">
        <f>'CS-RM'!G16+'CS-FG'!H52</f>
        <v>104.2227</v>
      </c>
      <c r="H9" s="44">
        <f>'CS-RM'!H16+'CS-FG'!I52</f>
        <v>117.084</v>
      </c>
    </row>
    <row r="10" spans="1:8" x14ac:dyDescent="0.25">
      <c r="A10" s="36" t="s">
        <v>437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463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6">
        <f>SUM(B8:B11)</f>
        <v>54.957520000000002</v>
      </c>
      <c r="C12" s="176">
        <f t="shared" ref="C12:H12" si="1">SUM(C8:C11)</f>
        <v>63.530820833333337</v>
      </c>
      <c r="D12" s="176">
        <f t="shared" si="1"/>
        <v>73.143737708333333</v>
      </c>
      <c r="E12" s="176">
        <f t="shared" si="1"/>
        <v>83.965505260416663</v>
      </c>
      <c r="F12" s="176">
        <f t="shared" si="1"/>
        <v>95.238089690104175</v>
      </c>
      <c r="G12" s="176">
        <f t="shared" si="1"/>
        <v>107.98493567460937</v>
      </c>
      <c r="H12" s="176">
        <f t="shared" si="1"/>
        <v>121.15661995833985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170</v>
      </c>
      <c r="B14" s="42">
        <f>B12*0.25</f>
        <v>13.739380000000001</v>
      </c>
      <c r="C14" s="42">
        <f t="shared" ref="C14:H14" si="2">C12*0.25</f>
        <v>15.882705208333334</v>
      </c>
      <c r="D14" s="42">
        <f t="shared" si="2"/>
        <v>18.285934427083333</v>
      </c>
      <c r="E14" s="42">
        <f t="shared" si="2"/>
        <v>20.991376315104166</v>
      </c>
      <c r="F14" s="42">
        <f t="shared" si="2"/>
        <v>23.809522422526044</v>
      </c>
      <c r="G14" s="42">
        <f t="shared" si="2"/>
        <v>26.996233918652344</v>
      </c>
      <c r="H14" s="42">
        <f t="shared" si="2"/>
        <v>30.289154989584961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171</v>
      </c>
      <c r="B16" s="44">
        <f>B12-B14</f>
        <v>41.218140000000005</v>
      </c>
      <c r="C16" s="44">
        <f t="shared" ref="C16:H16" si="3">C12-C14</f>
        <v>47.648115625000003</v>
      </c>
      <c r="D16" s="44">
        <f t="shared" si="3"/>
        <v>54.85780328125</v>
      </c>
      <c r="E16" s="44">
        <f t="shared" si="3"/>
        <v>62.974128945312501</v>
      </c>
      <c r="F16" s="44">
        <f t="shared" si="3"/>
        <v>71.428567267578131</v>
      </c>
      <c r="G16" s="44">
        <f t="shared" si="3"/>
        <v>80.988701755957038</v>
      </c>
      <c r="H16" s="44">
        <f t="shared" si="3"/>
        <v>90.867464968754888</v>
      </c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zoomScale="60" zoomScaleNormal="100" workbookViewId="0">
      <selection activeCell="B3" sqref="B3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6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502</v>
      </c>
      <c r="K1" s="8" t="s">
        <v>503</v>
      </c>
      <c r="L1" s="8" t="s">
        <v>504</v>
      </c>
    </row>
    <row r="2" spans="1:12" x14ac:dyDescent="0.25">
      <c r="A2" s="174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4" t="s">
        <v>618</v>
      </c>
      <c r="B3" s="42">
        <f>+'Capital Cost'!C28</f>
        <v>4.3499999999999996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4" t="s">
        <v>619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4" t="s">
        <v>617</v>
      </c>
      <c r="B5" s="42"/>
      <c r="C5" s="42">
        <f>'P&amp;L'!B27</f>
        <v>0.43499999999999994</v>
      </c>
      <c r="D5" s="42">
        <f>'P&amp;L'!C27</f>
        <v>0.43499999999999994</v>
      </c>
      <c r="E5" s="42">
        <f>'P&amp;L'!D27</f>
        <v>0.43499999999999994</v>
      </c>
      <c r="F5" s="42">
        <f>'P&amp;L'!E27</f>
        <v>0.43499999999999994</v>
      </c>
      <c r="G5" s="42">
        <f>'P&amp;L'!F27</f>
        <v>0.43499999999999994</v>
      </c>
      <c r="H5" s="9">
        <f>'P&amp;L'!G27</f>
        <v>0.43499999999999994</v>
      </c>
      <c r="I5" s="9">
        <f>'P&amp;L'!H27</f>
        <v>0.43499999999999994</v>
      </c>
      <c r="J5" s="9">
        <f>'P&amp;L'!I27</f>
        <v>0.43499999999999994</v>
      </c>
      <c r="K5" s="9">
        <f>'P&amp;L'!J27</f>
        <v>0.43499999999999994</v>
      </c>
      <c r="L5" s="9">
        <f>'P&amp;L'!K27</f>
        <v>0.43499999999999994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zoomScale="60" zoomScaleNormal="100" workbookViewId="0">
      <selection activeCell="A2" sqref="A2:L15"/>
    </sheetView>
  </sheetViews>
  <sheetFormatPr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9" style="1" bestFit="1" customWidth="1"/>
    <col min="10" max="16384" width="9.140625" style="1"/>
  </cols>
  <sheetData>
    <row r="2" spans="1:12" x14ac:dyDescent="0.25">
      <c r="A2" s="15" t="s">
        <v>431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502</v>
      </c>
      <c r="K2" s="15" t="s">
        <v>503</v>
      </c>
      <c r="L2" s="15" t="s">
        <v>504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3">
        <v>1</v>
      </c>
      <c r="B4" s="36" t="s">
        <v>397</v>
      </c>
      <c r="C4" s="72">
        <f>BS!C36</f>
        <v>25.947083333333335</v>
      </c>
      <c r="D4" s="72">
        <f>BS!D36</f>
        <v>31.353687500000003</v>
      </c>
      <c r="E4" s="72">
        <f>BS!E36</f>
        <v>36.188054166666667</v>
      </c>
      <c r="F4" s="72">
        <f>BS!F36</f>
        <v>41.446604166666667</v>
      </c>
      <c r="G4" s="72">
        <f>BS!G36</f>
        <v>47.172945833333337</v>
      </c>
      <c r="H4" s="72">
        <f>BS!H36</f>
        <v>53.388350000000003</v>
      </c>
      <c r="I4" s="72">
        <f>BS!I36</f>
        <v>60.071612500000008</v>
      </c>
      <c r="J4" s="72">
        <f>BS!J36</f>
        <v>63.259224999999994</v>
      </c>
      <c r="K4" s="72">
        <f>BS!K36</f>
        <v>70.658229166666672</v>
      </c>
      <c r="L4" s="72">
        <f>BS!L36</f>
        <v>78.880125000000007</v>
      </c>
    </row>
    <row r="5" spans="1:12" x14ac:dyDescent="0.25">
      <c r="A5" s="173">
        <v>2</v>
      </c>
      <c r="B5" s="36" t="s">
        <v>398</v>
      </c>
      <c r="C5" s="72">
        <f>BS!C40+BS!C41</f>
        <v>52.572000000000003</v>
      </c>
      <c r="D5" s="72">
        <f>BS!D40+BS!D41</f>
        <v>60.885300000000001</v>
      </c>
      <c r="E5" s="72">
        <f>BS!E40+BS!E41</f>
        <v>70.228200000000001</v>
      </c>
      <c r="F5" s="72">
        <f>BS!F40+BS!F41</f>
        <v>80.781700000000001</v>
      </c>
      <c r="G5" s="72">
        <f>BS!G40+BS!G41</f>
        <v>91.763800000000003</v>
      </c>
      <c r="H5" s="72">
        <f>BS!H40+BS!H41</f>
        <v>104.2227</v>
      </c>
      <c r="I5" s="72">
        <f>BS!I40+BS!I41</f>
        <v>117.084</v>
      </c>
      <c r="J5" s="72">
        <f>BS!J40+BS!J41</f>
        <v>122.9392</v>
      </c>
      <c r="K5" s="72">
        <f>BS!K40+BS!K41</f>
        <v>137.73439999999999</v>
      </c>
      <c r="L5" s="72">
        <f>BS!L40+BS!L41</f>
        <v>152.70410000000001</v>
      </c>
    </row>
    <row r="6" spans="1:12" x14ac:dyDescent="0.25">
      <c r="A6" s="173">
        <v>3</v>
      </c>
      <c r="B6" s="36" t="s">
        <v>399</v>
      </c>
      <c r="C6" s="73">
        <f>BS!C22</f>
        <v>55.344853333333326</v>
      </c>
      <c r="D6" s="73">
        <f>BS!D22</f>
        <v>62.247370833333342</v>
      </c>
      <c r="E6" s="73">
        <f>BS!E22</f>
        <v>71.680937708333332</v>
      </c>
      <c r="F6" s="73">
        <f>BS!F22</f>
        <v>81.925405260416667</v>
      </c>
      <c r="G6" s="73">
        <f>BS!G22</f>
        <v>93.026489690104185</v>
      </c>
      <c r="H6" s="73">
        <f>BS!H22</f>
        <v>105.05626067460936</v>
      </c>
      <c r="I6" s="73">
        <f>BS!I22</f>
        <v>117.94421995833984</v>
      </c>
      <c r="J6" s="73">
        <f>BS!J22</f>
        <v>123.37663495625684</v>
      </c>
      <c r="K6" s="73">
        <f>BS!K22</f>
        <v>138.26757237073633</v>
      </c>
      <c r="L6" s="73">
        <f>BS!L22</f>
        <v>153.99487348927315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4"/>
      <c r="B8" s="36" t="s">
        <v>432</v>
      </c>
      <c r="C8" s="44">
        <f t="shared" ref="C8:L8" si="0">C4+C5-C6</f>
        <v>23.174230000000016</v>
      </c>
      <c r="D8" s="44">
        <f t="shared" si="0"/>
        <v>29.991616666666665</v>
      </c>
      <c r="E8" s="44">
        <f t="shared" si="0"/>
        <v>34.735316458333344</v>
      </c>
      <c r="F8" s="44">
        <f t="shared" si="0"/>
        <v>40.302898906250007</v>
      </c>
      <c r="G8" s="44">
        <f t="shared" si="0"/>
        <v>45.910256143229148</v>
      </c>
      <c r="H8" s="44">
        <f t="shared" si="0"/>
        <v>52.554789325390644</v>
      </c>
      <c r="I8" s="44">
        <f t="shared" si="0"/>
        <v>59.211392541660175</v>
      </c>
      <c r="J8" s="44">
        <f t="shared" si="0"/>
        <v>62.82179004374315</v>
      </c>
      <c r="K8" s="44">
        <f t="shared" si="0"/>
        <v>70.125056795930334</v>
      </c>
      <c r="L8" s="44">
        <f t="shared" si="0"/>
        <v>77.589351510726857</v>
      </c>
    </row>
    <row r="9" spans="1:12" hidden="1" x14ac:dyDescent="0.25">
      <c r="A9" s="174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4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5"/>
      <c r="B11" s="10" t="s">
        <v>433</v>
      </c>
      <c r="C11" s="19">
        <f>C4+C5-C6</f>
        <v>23.174230000000016</v>
      </c>
      <c r="D11" s="19">
        <f t="shared" ref="D11:L11" si="1">D4+D5-D6</f>
        <v>29.991616666666665</v>
      </c>
      <c r="E11" s="19">
        <f t="shared" si="1"/>
        <v>34.735316458333344</v>
      </c>
      <c r="F11" s="19">
        <f t="shared" si="1"/>
        <v>40.302898906250007</v>
      </c>
      <c r="G11" s="19">
        <f t="shared" si="1"/>
        <v>45.910256143229148</v>
      </c>
      <c r="H11" s="19">
        <f t="shared" si="1"/>
        <v>52.554789325390644</v>
      </c>
      <c r="I11" s="19">
        <f t="shared" si="1"/>
        <v>59.211392541660175</v>
      </c>
      <c r="J11" s="19">
        <f t="shared" si="1"/>
        <v>62.82179004374315</v>
      </c>
      <c r="K11" s="19">
        <f t="shared" si="1"/>
        <v>70.125056795930334</v>
      </c>
      <c r="L11" s="19">
        <f t="shared" si="1"/>
        <v>77.589351510726857</v>
      </c>
    </row>
    <row r="12" spans="1:12" x14ac:dyDescent="0.25">
      <c r="A12" s="174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4"/>
      <c r="B13" s="36" t="s">
        <v>170</v>
      </c>
      <c r="C13" s="44">
        <f>C11*0.25</f>
        <v>5.7935575000000039</v>
      </c>
      <c r="D13" s="44">
        <f t="shared" ref="D13:L13" si="2">D11*0.25</f>
        <v>7.4979041666666664</v>
      </c>
      <c r="E13" s="44">
        <f t="shared" si="2"/>
        <v>8.683829114583336</v>
      </c>
      <c r="F13" s="44">
        <f t="shared" si="2"/>
        <v>10.075724726562502</v>
      </c>
      <c r="G13" s="44">
        <f t="shared" si="2"/>
        <v>11.477564035807287</v>
      </c>
      <c r="H13" s="44">
        <f t="shared" si="2"/>
        <v>13.138697331347661</v>
      </c>
      <c r="I13" s="44">
        <f t="shared" si="2"/>
        <v>14.802848135415044</v>
      </c>
      <c r="J13" s="44">
        <f t="shared" si="2"/>
        <v>15.705447510935787</v>
      </c>
      <c r="K13" s="44">
        <f t="shared" si="2"/>
        <v>17.531264198982583</v>
      </c>
      <c r="L13" s="44">
        <f t="shared" si="2"/>
        <v>19.397337877681714</v>
      </c>
    </row>
    <row r="14" spans="1:12" x14ac:dyDescent="0.25">
      <c r="A14" s="174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4"/>
      <c r="B15" s="270" t="s">
        <v>631</v>
      </c>
      <c r="C15" s="44">
        <f>C11-C13</f>
        <v>17.38067250000001</v>
      </c>
      <c r="D15" s="44">
        <f t="shared" ref="D15:L15" si="3">D11-D13</f>
        <v>22.493712500000001</v>
      </c>
      <c r="E15" s="44">
        <f t="shared" si="3"/>
        <v>26.051487343750008</v>
      </c>
      <c r="F15" s="44">
        <f t="shared" si="3"/>
        <v>30.227174179687506</v>
      </c>
      <c r="G15" s="44">
        <f t="shared" si="3"/>
        <v>34.432692107421857</v>
      </c>
      <c r="H15" s="44">
        <f t="shared" si="3"/>
        <v>39.416091994042986</v>
      </c>
      <c r="I15" s="44">
        <f t="shared" si="3"/>
        <v>44.408544406245127</v>
      </c>
      <c r="J15" s="44">
        <f t="shared" si="3"/>
        <v>47.116342532807366</v>
      </c>
      <c r="K15" s="44">
        <f t="shared" si="3"/>
        <v>52.59379259694775</v>
      </c>
      <c r="L15" s="44">
        <f t="shared" si="3"/>
        <v>58.192013633045143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zoomScale="60" zoomScaleNormal="100" workbookViewId="0">
      <selection activeCell="A3" sqref="A3:K41"/>
    </sheetView>
  </sheetViews>
  <sheetFormatPr defaultRowHeight="15" x14ac:dyDescent="0.25"/>
  <cols>
    <col min="1" max="1" width="47.5703125" style="1" bestFit="1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02" t="s">
        <v>172</v>
      </c>
      <c r="B2" s="303"/>
      <c r="C2" s="303"/>
      <c r="D2" s="303"/>
      <c r="E2" s="303"/>
      <c r="F2" s="303"/>
      <c r="G2" s="303"/>
      <c r="H2" s="288"/>
      <c r="I2" s="288"/>
      <c r="J2" s="288"/>
      <c r="K2" s="288"/>
    </row>
    <row r="3" spans="1:11" x14ac:dyDescent="0.25">
      <c r="A3" s="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502</v>
      </c>
      <c r="J3" s="74" t="s">
        <v>503</v>
      </c>
      <c r="K3" s="74" t="s">
        <v>504</v>
      </c>
    </row>
    <row r="4" spans="1:11" x14ac:dyDescent="0.25">
      <c r="A4" s="8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6" t="s">
        <v>173</v>
      </c>
      <c r="B5" s="45">
        <f>'Sales Schedule'!C18</f>
        <v>620.03</v>
      </c>
      <c r="C5" s="45">
        <f>'Sales Schedule'!D18</f>
        <v>749.24850000000004</v>
      </c>
      <c r="D5" s="45">
        <f>'Sales Schedule'!E18</f>
        <v>864.66880000000003</v>
      </c>
      <c r="E5" s="45">
        <f>'Sales Schedule'!F18</f>
        <v>990.1825</v>
      </c>
      <c r="F5" s="45">
        <f>'Sales Schedule'!G18</f>
        <v>1126.8467000000001</v>
      </c>
      <c r="G5" s="45">
        <f>'Sales Schedule'!H18</f>
        <v>1275.1464000000001</v>
      </c>
      <c r="H5" s="45">
        <f>'Sales Schedule'!I18</f>
        <v>1434.5637000000002</v>
      </c>
      <c r="I5" s="45">
        <f>'Sales Schedule'!J18</f>
        <v>1510.5038999999999</v>
      </c>
      <c r="J5" s="45">
        <f>'Sales Schedule'!K18</f>
        <v>1686.9175</v>
      </c>
      <c r="K5" s="45">
        <f>'Sales Schedule'!L18</f>
        <v>1882.923</v>
      </c>
    </row>
    <row r="6" spans="1:11" x14ac:dyDescent="0.25">
      <c r="A6" s="6" t="s">
        <v>630</v>
      </c>
      <c r="B6" s="45">
        <f>'Output Schedule'!B14</f>
        <v>2.7</v>
      </c>
      <c r="C6" s="45">
        <f>'Output Schedule'!C14</f>
        <v>3.24</v>
      </c>
      <c r="D6" s="45">
        <f>'Output Schedule'!D14</f>
        <v>3.8445000000000005</v>
      </c>
      <c r="E6" s="45">
        <f>'Output Schedule'!E14</f>
        <v>4.5359999999999996</v>
      </c>
      <c r="F6" s="45">
        <f>'Output Schedule'!F14</f>
        <v>5.3040000000000003</v>
      </c>
      <c r="G6" s="45">
        <f>'Output Schedule'!G14</f>
        <v>6.1740000000000004</v>
      </c>
      <c r="H6" s="45">
        <f>'Output Schedule'!H14</f>
        <v>7.1550000000000002</v>
      </c>
      <c r="I6" s="45">
        <f>'Output Schedule'!I14</f>
        <v>7.7175000000000002</v>
      </c>
      <c r="J6" s="45">
        <f>'Output Schedule'!J14</f>
        <v>8.8800000000000008</v>
      </c>
      <c r="K6" s="45">
        <f>'Output Schedule'!K14</f>
        <v>10.200000000000003</v>
      </c>
    </row>
    <row r="7" spans="1:11" hidden="1" x14ac:dyDescent="0.25">
      <c r="A7" s="6" t="s">
        <v>430</v>
      </c>
      <c r="B7" s="45">
        <f>'Farm Implement Business'!G10</f>
        <v>0</v>
      </c>
      <c r="C7" s="45">
        <f>'Farm Implement Business'!H10</f>
        <v>0</v>
      </c>
      <c r="D7" s="45">
        <f>'Farm Implement Business'!I10</f>
        <v>0</v>
      </c>
      <c r="E7" s="45">
        <f>'Farm Implement Business'!J10</f>
        <v>0</v>
      </c>
      <c r="F7" s="45">
        <f>'Farm Implement Business'!K10</f>
        <v>0</v>
      </c>
      <c r="G7" s="45">
        <f>'Farm Implement Business'!L10</f>
        <v>0</v>
      </c>
      <c r="H7" s="45">
        <f>'Farm Implement Business'!M10</f>
        <v>0</v>
      </c>
      <c r="I7" s="19"/>
      <c r="J7" s="243"/>
      <c r="K7" s="6"/>
    </row>
    <row r="8" spans="1:11" x14ac:dyDescent="0.25">
      <c r="A8" s="6"/>
      <c r="B8" s="19"/>
      <c r="C8" s="19"/>
      <c r="D8" s="19"/>
      <c r="E8" s="19"/>
      <c r="F8" s="19"/>
      <c r="G8" s="19"/>
      <c r="H8" s="19"/>
      <c r="I8" s="19"/>
      <c r="J8" s="6"/>
      <c r="K8" s="6"/>
    </row>
    <row r="9" spans="1:11" x14ac:dyDescent="0.25">
      <c r="A9" s="75" t="s">
        <v>174</v>
      </c>
      <c r="B9" s="22">
        <f>SUM(B5:B8)</f>
        <v>622.73</v>
      </c>
      <c r="C9" s="22">
        <f t="shared" ref="C9:K9" si="0">SUM(C5:C8)</f>
        <v>752.48850000000004</v>
      </c>
      <c r="D9" s="22">
        <f t="shared" si="0"/>
        <v>868.51330000000007</v>
      </c>
      <c r="E9" s="22">
        <f t="shared" si="0"/>
        <v>994.71849999999995</v>
      </c>
      <c r="F9" s="22">
        <f t="shared" si="0"/>
        <v>1132.1507000000001</v>
      </c>
      <c r="G9" s="22">
        <f t="shared" si="0"/>
        <v>1281.3204000000001</v>
      </c>
      <c r="H9" s="22">
        <f t="shared" si="0"/>
        <v>1441.7187000000001</v>
      </c>
      <c r="I9" s="22">
        <f t="shared" si="0"/>
        <v>1518.2213999999999</v>
      </c>
      <c r="J9" s="22">
        <f t="shared" si="0"/>
        <v>1695.7975000000001</v>
      </c>
      <c r="K9" s="22">
        <f t="shared" si="0"/>
        <v>1893.123</v>
      </c>
    </row>
    <row r="10" spans="1:11" x14ac:dyDescent="0.25">
      <c r="A10" s="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76" t="s">
        <v>175</v>
      </c>
      <c r="B11" s="9">
        <f>'CS-FG'!C51</f>
        <v>0</v>
      </c>
      <c r="C11" s="9">
        <f>'CS-FG'!D51</f>
        <v>27.26</v>
      </c>
      <c r="D11" s="9">
        <f>'CS-FG'!E51</f>
        <v>30.985499999999998</v>
      </c>
      <c r="E11" s="9">
        <f>'CS-FG'!F51</f>
        <v>35.845500000000001</v>
      </c>
      <c r="F11" s="9">
        <f>'CS-FG'!G51</f>
        <v>41.541700000000006</v>
      </c>
      <c r="G11" s="9">
        <f>'CS-FG'!H51</f>
        <v>47.2624</v>
      </c>
      <c r="H11" s="9">
        <f>'CS-FG'!I51</f>
        <v>53.455499999999994</v>
      </c>
      <c r="I11" s="9">
        <f>'CS-FG'!J51</f>
        <v>60.148200000000003</v>
      </c>
      <c r="J11" s="9">
        <f>'CS-FG'!K51</f>
        <v>63.155200000000008</v>
      </c>
      <c r="K11" s="9">
        <f>'CS-FG'!L51</f>
        <v>70.954399999999993</v>
      </c>
    </row>
    <row r="12" spans="1:11" x14ac:dyDescent="0.25">
      <c r="A12" s="77" t="s">
        <v>176</v>
      </c>
      <c r="B12" s="9">
        <f>'CS-FG'!C52</f>
        <v>27.26</v>
      </c>
      <c r="C12" s="9">
        <f>'CS-FG'!D52</f>
        <v>30.985499999999998</v>
      </c>
      <c r="D12" s="9">
        <f>'CS-FG'!E52</f>
        <v>35.845500000000001</v>
      </c>
      <c r="E12" s="9">
        <f>'CS-FG'!F52</f>
        <v>41.541700000000006</v>
      </c>
      <c r="F12" s="9">
        <f>'CS-FG'!G52</f>
        <v>47.2624</v>
      </c>
      <c r="G12" s="9">
        <f>'CS-FG'!H52</f>
        <v>53.455499999999994</v>
      </c>
      <c r="H12" s="9">
        <f>'CS-FG'!I52</f>
        <v>60.148200000000003</v>
      </c>
      <c r="I12" s="9">
        <f>'CS-FG'!J52</f>
        <v>63.155200000000008</v>
      </c>
      <c r="J12" s="9">
        <f>'CS-FG'!K52</f>
        <v>70.954399999999993</v>
      </c>
      <c r="K12" s="9">
        <f>'CS-FG'!L52</f>
        <v>78.376900000000006</v>
      </c>
    </row>
    <row r="13" spans="1:11" x14ac:dyDescent="0.25">
      <c r="A13" s="77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78" t="s">
        <v>177</v>
      </c>
      <c r="B14" s="22">
        <f>B9+B12-B11</f>
        <v>649.99</v>
      </c>
      <c r="C14" s="22">
        <f t="shared" ref="C14:K14" si="1">C9+C12-C11</f>
        <v>756.21400000000006</v>
      </c>
      <c r="D14" s="22">
        <f t="shared" si="1"/>
        <v>873.37330000000009</v>
      </c>
      <c r="E14" s="22">
        <f t="shared" si="1"/>
        <v>1000.4146999999999</v>
      </c>
      <c r="F14" s="22">
        <f t="shared" si="1"/>
        <v>1137.8714000000002</v>
      </c>
      <c r="G14" s="22">
        <f t="shared" si="1"/>
        <v>1287.5135</v>
      </c>
      <c r="H14" s="22">
        <f t="shared" si="1"/>
        <v>1448.4114000000002</v>
      </c>
      <c r="I14" s="22">
        <f t="shared" si="1"/>
        <v>1521.2283999999997</v>
      </c>
      <c r="J14" s="22">
        <f t="shared" si="1"/>
        <v>1703.5967000000003</v>
      </c>
      <c r="K14" s="22">
        <f t="shared" si="1"/>
        <v>1900.5454999999999</v>
      </c>
    </row>
    <row r="15" spans="1:11" x14ac:dyDescent="0.25">
      <c r="A15" s="79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76" t="s">
        <v>178</v>
      </c>
      <c r="B16" s="19">
        <f>'Purchase Schedule'!B6</f>
        <v>635.51199999999994</v>
      </c>
      <c r="C16" s="19">
        <f>'Purchase Schedule'!C6</f>
        <v>715.22220000000004</v>
      </c>
      <c r="D16" s="19">
        <f>'Purchase Schedule'!D6</f>
        <v>825.1848</v>
      </c>
      <c r="E16" s="19">
        <f>'Purchase Schedule'!E6</f>
        <v>944.89919999999995</v>
      </c>
      <c r="F16" s="19">
        <f>'Purchase Schedule'!F6</f>
        <v>1074.6264000000001</v>
      </c>
      <c r="G16" s="19">
        <f>'Purchase Schedule'!G6</f>
        <v>1215.5282999999999</v>
      </c>
      <c r="H16" s="19">
        <f>'Purchase Schedule'!H6</f>
        <v>1366.4592</v>
      </c>
      <c r="I16" s="19">
        <f>'Purchase Schedule'!I6</f>
        <v>1431</v>
      </c>
      <c r="J16" s="19">
        <f>'Purchase Schedule'!J6</f>
        <v>1606.7267999999999</v>
      </c>
      <c r="K16" s="19">
        <f>'Purchase Schedule'!K6</f>
        <v>1792.2672</v>
      </c>
    </row>
    <row r="17" spans="1:11" x14ac:dyDescent="0.25">
      <c r="A17" s="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76" t="s">
        <v>179</v>
      </c>
      <c r="B18" s="9">
        <f>'CS-RM'!B15</f>
        <v>0</v>
      </c>
      <c r="C18" s="9">
        <f>'CS-RM'!C15</f>
        <v>25.312000000000001</v>
      </c>
      <c r="D18" s="9">
        <f>'CS-RM'!D15</f>
        <v>29.899799999999999</v>
      </c>
      <c r="E18" s="9">
        <f>'CS-RM'!E15</f>
        <v>34.3827</v>
      </c>
      <c r="F18" s="9">
        <f>'CS-RM'!F15</f>
        <v>39.24</v>
      </c>
      <c r="G18" s="9">
        <f>'CS-RM'!G15</f>
        <v>44.501399999999997</v>
      </c>
      <c r="H18" s="9">
        <f>'CS-RM'!H15</f>
        <v>50.767200000000003</v>
      </c>
      <c r="I18" s="9">
        <f>'CS-RM'!I15</f>
        <v>56.9358</v>
      </c>
      <c r="J18" s="9">
        <f>'CS-RM'!J15</f>
        <v>59.783999999999999</v>
      </c>
      <c r="K18" s="9">
        <f>'CS-RM'!K15</f>
        <v>66.78</v>
      </c>
    </row>
    <row r="19" spans="1:11" x14ac:dyDescent="0.25">
      <c r="A19" s="77" t="s">
        <v>180</v>
      </c>
      <c r="B19" s="9">
        <f>'CS-RM'!B16</f>
        <v>25.312000000000001</v>
      </c>
      <c r="C19" s="9">
        <f>'CS-RM'!C16</f>
        <v>29.899799999999999</v>
      </c>
      <c r="D19" s="9">
        <f>'CS-RM'!D16</f>
        <v>34.3827</v>
      </c>
      <c r="E19" s="9">
        <f>'CS-RM'!E16</f>
        <v>39.24</v>
      </c>
      <c r="F19" s="9">
        <f>'CS-RM'!F16</f>
        <v>44.501399999999997</v>
      </c>
      <c r="G19" s="9">
        <f>'CS-RM'!G16</f>
        <v>50.767200000000003</v>
      </c>
      <c r="H19" s="9">
        <f>'CS-RM'!H16</f>
        <v>56.9358</v>
      </c>
      <c r="I19" s="9">
        <f>'CS-RM'!I16</f>
        <v>59.783999999999999</v>
      </c>
      <c r="J19" s="9">
        <f>'CS-RM'!J16</f>
        <v>66.78</v>
      </c>
      <c r="K19" s="9">
        <f>'CS-RM'!K16</f>
        <v>74.327200000000005</v>
      </c>
    </row>
    <row r="20" spans="1:11" x14ac:dyDescent="0.25">
      <c r="A20" s="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78" t="s">
        <v>181</v>
      </c>
      <c r="B21" s="22">
        <f>B16+B18-B19</f>
        <v>610.19999999999993</v>
      </c>
      <c r="C21" s="22">
        <f t="shared" ref="C21:K21" si="2">C16+C18-C19</f>
        <v>710.63440000000003</v>
      </c>
      <c r="D21" s="22">
        <f t="shared" si="2"/>
        <v>820.70190000000002</v>
      </c>
      <c r="E21" s="22">
        <f t="shared" si="2"/>
        <v>940.04189999999994</v>
      </c>
      <c r="F21" s="22">
        <f t="shared" si="2"/>
        <v>1069.365</v>
      </c>
      <c r="G21" s="22">
        <f t="shared" si="2"/>
        <v>1209.2625</v>
      </c>
      <c r="H21" s="22">
        <f t="shared" si="2"/>
        <v>1360.2906</v>
      </c>
      <c r="I21" s="22">
        <f t="shared" si="2"/>
        <v>1428.1517999999999</v>
      </c>
      <c r="J21" s="22">
        <f t="shared" si="2"/>
        <v>1599.7308</v>
      </c>
      <c r="K21" s="22">
        <f t="shared" si="2"/>
        <v>1784.72</v>
      </c>
    </row>
    <row r="22" spans="1:11" x14ac:dyDescent="0.25">
      <c r="A22" s="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80" t="s">
        <v>182</v>
      </c>
      <c r="B23" s="35">
        <f>'Opex Schedule'!C18+'Opex Schedule'!C27</f>
        <v>9.4050000000000011</v>
      </c>
      <c r="C23" s="35">
        <f>'Opex Schedule'!D18+'Opex Schedule'!D27</f>
        <v>9.8752500000000012</v>
      </c>
      <c r="D23" s="35">
        <f>'Opex Schedule'!E18+'Opex Schedule'!E27</f>
        <v>10.3690125</v>
      </c>
      <c r="E23" s="35">
        <f>'Opex Schedule'!F18+'Opex Schedule'!F27</f>
        <v>10.887463125000004</v>
      </c>
      <c r="F23" s="35">
        <f>'Opex Schedule'!G18+'Opex Schedule'!G27</f>
        <v>11.431836281250003</v>
      </c>
      <c r="G23" s="35">
        <f>'Opex Schedule'!H18+'Opex Schedule'!H27</f>
        <v>12.003428095312501</v>
      </c>
      <c r="H23" s="35">
        <f>'Opex Schedule'!I18+'Opex Schedule'!I27</f>
        <v>12.603599500078129</v>
      </c>
      <c r="I23" s="35">
        <f>'Opex Schedule'!J18+'Opex Schedule'!J27</f>
        <v>13.233779475082034</v>
      </c>
      <c r="J23" s="35">
        <f>'Opex Schedule'!K18+'Opex Schedule'!K27</f>
        <v>13.895468448836136</v>
      </c>
      <c r="K23" s="35">
        <f>'Opex Schedule'!L18+'Opex Schedule'!L27</f>
        <v>14.590241871277945</v>
      </c>
    </row>
    <row r="24" spans="1:11" x14ac:dyDescent="0.25">
      <c r="A24" s="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80" t="s">
        <v>183</v>
      </c>
      <c r="B25" s="22">
        <f>'Opex Schedule'!C42</f>
        <v>19.221240000000002</v>
      </c>
      <c r="C25" s="22">
        <f>'Opex Schedule'!D42</f>
        <v>21.870999999999999</v>
      </c>
      <c r="D25" s="22">
        <f>'Opex Schedule'!E42</f>
        <v>24.617440000000006</v>
      </c>
      <c r="E25" s="22">
        <f>'Opex Schedule'!F42</f>
        <v>27.318199999999997</v>
      </c>
      <c r="F25" s="22">
        <f>'Opex Schedule'!G42</f>
        <v>30.259640000000005</v>
      </c>
      <c r="G25" s="22">
        <f>'Opex Schedule'!H42</f>
        <v>33.143400000000007</v>
      </c>
      <c r="H25" s="22">
        <f>'Opex Schedule'!I42</f>
        <v>36.26784</v>
      </c>
      <c r="I25" s="22">
        <f>'Opex Schedule'!J42</f>
        <v>36.28584</v>
      </c>
      <c r="J25" s="22">
        <f>'Opex Schedule'!K42</f>
        <v>38.5886</v>
      </c>
      <c r="K25" s="22">
        <f>'Opex Schedule'!L42</f>
        <v>41.081040000000002</v>
      </c>
    </row>
    <row r="26" spans="1:11" x14ac:dyDescent="0.25">
      <c r="A26" s="6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6" t="s">
        <v>184</v>
      </c>
      <c r="B27" s="19">
        <f>'Project Glance'!B10/10</f>
        <v>0.43499999999999994</v>
      </c>
      <c r="C27" s="19">
        <f>B27</f>
        <v>0.43499999999999994</v>
      </c>
      <c r="D27" s="19">
        <f t="shared" ref="D27:K27" si="3">C27</f>
        <v>0.43499999999999994</v>
      </c>
      <c r="E27" s="19">
        <f t="shared" si="3"/>
        <v>0.43499999999999994</v>
      </c>
      <c r="F27" s="19">
        <f t="shared" si="3"/>
        <v>0.43499999999999994</v>
      </c>
      <c r="G27" s="19">
        <f t="shared" si="3"/>
        <v>0.43499999999999994</v>
      </c>
      <c r="H27" s="19">
        <f t="shared" si="3"/>
        <v>0.43499999999999994</v>
      </c>
      <c r="I27" s="19">
        <f t="shared" si="3"/>
        <v>0.43499999999999994</v>
      </c>
      <c r="J27" s="19">
        <f t="shared" si="3"/>
        <v>0.43499999999999994</v>
      </c>
      <c r="K27" s="19">
        <f t="shared" si="3"/>
        <v>0.43499999999999994</v>
      </c>
    </row>
    <row r="28" spans="1:11" x14ac:dyDescent="0.25">
      <c r="A28" s="6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6" t="s">
        <v>185</v>
      </c>
      <c r="B29" s="19">
        <f>B14-B21-B23-B25-B27</f>
        <v>10.728760000000074</v>
      </c>
      <c r="C29" s="19">
        <f t="shared" ref="C29:K29" si="4">C14-C21-C23-C25-C27</f>
        <v>13.398350000000027</v>
      </c>
      <c r="D29" s="19">
        <f t="shared" si="4"/>
        <v>17.249947500000061</v>
      </c>
      <c r="E29" s="19">
        <f t="shared" si="4"/>
        <v>21.732136874999984</v>
      </c>
      <c r="F29" s="19">
        <f t="shared" si="4"/>
        <v>26.379923718750209</v>
      </c>
      <c r="G29" s="19">
        <f t="shared" si="4"/>
        <v>32.669171904687467</v>
      </c>
      <c r="H29" s="19">
        <f t="shared" si="4"/>
        <v>38.81436049992201</v>
      </c>
      <c r="I29" s="19">
        <f t="shared" si="4"/>
        <v>43.121980524917838</v>
      </c>
      <c r="J29" s="19">
        <f t="shared" si="4"/>
        <v>50.946831551164095</v>
      </c>
      <c r="K29" s="19">
        <f t="shared" si="4"/>
        <v>59.719218128721977</v>
      </c>
    </row>
    <row r="30" spans="1:11" x14ac:dyDescent="0.25">
      <c r="A30" s="6" t="s">
        <v>186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" t="s">
        <v>187</v>
      </c>
      <c r="B31" s="9">
        <f>'WC Assessment'!C15*0.09</f>
        <v>1.5642605250000008</v>
      </c>
      <c r="C31" s="9">
        <f>'WC Assessment'!D15*0.09</f>
        <v>2.024434125</v>
      </c>
      <c r="D31" s="9">
        <f>'WC Assessment'!E15*0.09</f>
        <v>2.3446338609375008</v>
      </c>
      <c r="E31" s="9">
        <f>'WC Assessment'!F15*0.09</f>
        <v>2.7204456761718756</v>
      </c>
      <c r="F31" s="9">
        <f>'WC Assessment'!G15*0.09</f>
        <v>3.098942289667967</v>
      </c>
      <c r="G31" s="9">
        <f>'WC Assessment'!H15*0.09</f>
        <v>3.5474482794638686</v>
      </c>
      <c r="H31" s="9">
        <f>'WC Assessment'!I15*0.09</f>
        <v>3.9967689965620612</v>
      </c>
      <c r="I31" s="9">
        <f>'WC Assessment'!J15*0.09</f>
        <v>4.2404708279526631</v>
      </c>
      <c r="J31" s="9">
        <f>'WC Assessment'!K15*0.09</f>
        <v>4.7334413337252972</v>
      </c>
      <c r="K31" s="9">
        <f>'WC Assessment'!L15*0.09</f>
        <v>5.237281226974063</v>
      </c>
    </row>
    <row r="32" spans="1:11" x14ac:dyDescent="0.25">
      <c r="A32" s="6" t="s">
        <v>188</v>
      </c>
      <c r="B32" s="19">
        <f>Depn!C20</f>
        <v>3.2366399999999995</v>
      </c>
      <c r="C32" s="19">
        <f>Depn!D20</f>
        <v>3.2366399999999995</v>
      </c>
      <c r="D32" s="19">
        <f>Depn!E20</f>
        <v>3.2366399999999995</v>
      </c>
      <c r="E32" s="19">
        <f>Depn!F20</f>
        <v>3.2366399999999995</v>
      </c>
      <c r="F32" s="19">
        <f>Depn!G20</f>
        <v>3.2366399999999995</v>
      </c>
      <c r="G32" s="19">
        <f>Depn!H20</f>
        <v>3.2366399999999995</v>
      </c>
      <c r="H32" s="19">
        <f>Depn!I20</f>
        <v>3.2366399999999995</v>
      </c>
      <c r="I32" s="19">
        <f>Depn!J20</f>
        <v>3.2366399999999995</v>
      </c>
      <c r="J32" s="19">
        <f>Depn!K20</f>
        <v>3.2366399999999995</v>
      </c>
      <c r="K32" s="19">
        <f>Depn!L20</f>
        <v>3.2366399999999995</v>
      </c>
    </row>
    <row r="33" spans="1:13" x14ac:dyDescent="0.25">
      <c r="A33" s="6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6" t="s">
        <v>189</v>
      </c>
      <c r="B34" s="19">
        <f>B29-B30-B31-B32</f>
        <v>5.9278594750000746</v>
      </c>
      <c r="C34" s="19">
        <f t="shared" ref="C34:K34" si="5">C29-C30-C31-C32</f>
        <v>8.1372758750000269</v>
      </c>
      <c r="D34" s="19">
        <f t="shared" si="5"/>
        <v>11.668673639062561</v>
      </c>
      <c r="E34" s="19">
        <f t="shared" si="5"/>
        <v>15.775051198828111</v>
      </c>
      <c r="F34" s="19">
        <f t="shared" si="5"/>
        <v>20.044341429082245</v>
      </c>
      <c r="G34" s="19">
        <f t="shared" si="5"/>
        <v>25.885083625223601</v>
      </c>
      <c r="H34" s="19">
        <f t="shared" si="5"/>
        <v>31.580951503359948</v>
      </c>
      <c r="I34" s="19">
        <f t="shared" si="5"/>
        <v>35.644869696965173</v>
      </c>
      <c r="J34" s="19">
        <f t="shared" si="5"/>
        <v>42.976750217438799</v>
      </c>
      <c r="K34" s="19">
        <f t="shared" si="5"/>
        <v>51.245296901747913</v>
      </c>
    </row>
    <row r="35" spans="1:13" x14ac:dyDescent="0.25">
      <c r="A35" s="6" t="s">
        <v>192</v>
      </c>
      <c r="B35" s="19">
        <f>Tax!B12</f>
        <v>0</v>
      </c>
      <c r="C35" s="19">
        <f>Tax!C12</f>
        <v>0.54383710500003013</v>
      </c>
      <c r="D35" s="19">
        <f>Tax!D12</f>
        <v>2.1025747167187685</v>
      </c>
      <c r="E35" s="19">
        <f>Tax!E12</f>
        <v>3.5829681408984331</v>
      </c>
      <c r="F35" s="19">
        <f>Tax!F12</f>
        <v>5.083693117787174</v>
      </c>
      <c r="G35" s="19">
        <f>Tax!G12</f>
        <v>7.0307197957702057</v>
      </c>
      <c r="H35" s="19">
        <f>Tax!H12</f>
        <v>8.9121346932306409</v>
      </c>
      <c r="I35" s="19">
        <f>Tax!I12</f>
        <v>10.284430511203809</v>
      </c>
      <c r="J35" s="19">
        <f>Tax!J12</f>
        <v>12.619874578631258</v>
      </c>
      <c r="K35" s="19">
        <f>Tax!K12</f>
        <v>15.2210913533563</v>
      </c>
      <c r="M35" s="13"/>
    </row>
    <row r="36" spans="1:13" x14ac:dyDescent="0.25">
      <c r="A36" s="8" t="s">
        <v>190</v>
      </c>
      <c r="B36" s="22">
        <f>B34-B35</f>
        <v>5.9278594750000746</v>
      </c>
      <c r="C36" s="22">
        <f t="shared" ref="C36:K36" si="6">C34-C35</f>
        <v>7.593438769999997</v>
      </c>
      <c r="D36" s="22">
        <f t="shared" si="6"/>
        <v>9.5660989223437927</v>
      </c>
      <c r="E36" s="22">
        <f t="shared" si="6"/>
        <v>12.192083057929677</v>
      </c>
      <c r="F36" s="22">
        <f t="shared" si="6"/>
        <v>14.960648311295071</v>
      </c>
      <c r="G36" s="22">
        <f t="shared" si="6"/>
        <v>18.854363829453394</v>
      </c>
      <c r="H36" s="22">
        <f t="shared" si="6"/>
        <v>22.668816810129307</v>
      </c>
      <c r="I36" s="22">
        <f t="shared" si="6"/>
        <v>25.360439185761365</v>
      </c>
      <c r="J36" s="22">
        <f t="shared" si="6"/>
        <v>30.356875638807541</v>
      </c>
      <c r="K36" s="22">
        <f t="shared" si="6"/>
        <v>36.024205548391613</v>
      </c>
      <c r="M36" s="13"/>
    </row>
    <row r="37" spans="1:13" x14ac:dyDescent="0.25">
      <c r="J37" s="25"/>
      <c r="K37" s="25"/>
      <c r="M37" s="13"/>
    </row>
    <row r="38" spans="1:13" x14ac:dyDescent="0.25">
      <c r="A38"/>
      <c r="B38" s="233"/>
      <c r="C38"/>
      <c r="D38"/>
      <c r="E38"/>
      <c r="F38"/>
      <c r="J38" s="25"/>
      <c r="K38" s="25"/>
    </row>
    <row r="39" spans="1:13" x14ac:dyDescent="0.25">
      <c r="A39"/>
      <c r="B39" s="24"/>
      <c r="C39" s="24"/>
      <c r="D39" s="24"/>
      <c r="E39" s="24"/>
      <c r="F39" s="24"/>
    </row>
    <row r="40" spans="1:13" x14ac:dyDescent="0.25">
      <c r="A40"/>
      <c r="B40"/>
      <c r="C40"/>
      <c r="D40"/>
      <c r="E40"/>
      <c r="F40"/>
    </row>
    <row r="41" spans="1:13" x14ac:dyDescent="0.25">
      <c r="A41" s="6" t="s">
        <v>191</v>
      </c>
      <c r="B41" s="19">
        <f>B36</f>
        <v>5.9278594750000746</v>
      </c>
      <c r="C41" s="19">
        <f>B41+C36</f>
        <v>13.521298245000072</v>
      </c>
      <c r="D41" s="19">
        <f t="shared" ref="D41:K41" si="7">C41+D36</f>
        <v>23.087397167343866</v>
      </c>
      <c r="E41" s="19">
        <f t="shared" si="7"/>
        <v>35.279480225273545</v>
      </c>
      <c r="F41" s="19">
        <f t="shared" si="7"/>
        <v>50.240128536568619</v>
      </c>
      <c r="G41" s="19">
        <f t="shared" si="7"/>
        <v>69.09449236602201</v>
      </c>
      <c r="H41" s="19">
        <f t="shared" si="7"/>
        <v>91.763309176151324</v>
      </c>
      <c r="I41" s="19">
        <f t="shared" si="7"/>
        <v>117.12374836191269</v>
      </c>
      <c r="J41" s="19">
        <f t="shared" si="7"/>
        <v>147.48062400072024</v>
      </c>
      <c r="K41" s="19">
        <f t="shared" si="7"/>
        <v>183.50482954911186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2"/>
  <sheetViews>
    <sheetView view="pageBreakPreview" zoomScale="60" zoomScaleNormal="100" workbookViewId="0">
      <selection activeCell="A4" sqref="A4:K12"/>
    </sheetView>
  </sheetViews>
  <sheetFormatPr defaultRowHeight="15" x14ac:dyDescent="0.25"/>
  <cols>
    <col min="1" max="1" width="22.85546875" customWidth="1"/>
  </cols>
  <sheetData>
    <row r="3" spans="1:11" x14ac:dyDescent="0.25">
      <c r="A3" s="302" t="s">
        <v>292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502</v>
      </c>
      <c r="J4" s="17" t="s">
        <v>503</v>
      </c>
      <c r="K4" s="17" t="s">
        <v>504</v>
      </c>
    </row>
    <row r="5" spans="1:11" x14ac:dyDescent="0.25">
      <c r="A5" s="6" t="s">
        <v>293</v>
      </c>
      <c r="B5" s="19">
        <f>'P&amp;L'!B34</f>
        <v>5.9278594750000746</v>
      </c>
      <c r="C5" s="19">
        <f>'P&amp;L'!C34</f>
        <v>8.1372758750000269</v>
      </c>
      <c r="D5" s="19">
        <f>'P&amp;L'!D34</f>
        <v>11.668673639062561</v>
      </c>
      <c r="E5" s="19">
        <f>'P&amp;L'!E34</f>
        <v>15.775051198828111</v>
      </c>
      <c r="F5" s="19">
        <f>'P&amp;L'!F34</f>
        <v>20.044341429082245</v>
      </c>
      <c r="G5" s="19">
        <f>'P&amp;L'!G34</f>
        <v>25.885083625223601</v>
      </c>
      <c r="H5" s="19">
        <f>'P&amp;L'!H34</f>
        <v>31.580951503359948</v>
      </c>
      <c r="I5" s="19">
        <f>'P&amp;L'!I34</f>
        <v>35.644869696965173</v>
      </c>
      <c r="J5" s="19">
        <f>'P&amp;L'!J34</f>
        <v>42.976750217438799</v>
      </c>
      <c r="K5" s="19">
        <f>'P&amp;L'!K34</f>
        <v>51.245296901747913</v>
      </c>
    </row>
    <row r="6" spans="1:11" ht="30" x14ac:dyDescent="0.25">
      <c r="A6" s="10" t="s">
        <v>294</v>
      </c>
      <c r="B6" s="19">
        <f>'P&amp;L'!B32</f>
        <v>3.2366399999999995</v>
      </c>
      <c r="C6" s="19">
        <f>'P&amp;L'!C32</f>
        <v>3.2366399999999995</v>
      </c>
      <c r="D6" s="19">
        <f>'P&amp;L'!D32</f>
        <v>3.2366399999999995</v>
      </c>
      <c r="E6" s="19">
        <f>'P&amp;L'!E32</f>
        <v>3.2366399999999995</v>
      </c>
      <c r="F6" s="19">
        <f>'P&amp;L'!F32</f>
        <v>3.2366399999999995</v>
      </c>
      <c r="G6" s="19">
        <f>'P&amp;L'!G32</f>
        <v>3.2366399999999995</v>
      </c>
      <c r="H6" s="19">
        <f>'P&amp;L'!H32</f>
        <v>3.2366399999999995</v>
      </c>
      <c r="I6" s="19">
        <f>'P&amp;L'!I32</f>
        <v>3.2366399999999995</v>
      </c>
      <c r="J6" s="19">
        <f>'P&amp;L'!J32</f>
        <v>3.2366399999999995</v>
      </c>
      <c r="K6" s="19">
        <f>'P&amp;L'!K32</f>
        <v>3.2366399999999995</v>
      </c>
    </row>
    <row r="7" spans="1:11" ht="30" x14ac:dyDescent="0.25">
      <c r="A7" s="10" t="s">
        <v>295</v>
      </c>
      <c r="B7" s="19">
        <f>Depn!P20</f>
        <v>9.4574999999999996</v>
      </c>
      <c r="C7" s="19">
        <f>Depn!Q20</f>
        <v>8.3981250000000003</v>
      </c>
      <c r="D7" s="19">
        <f>Depn!R20</f>
        <v>7.4617312499999997</v>
      </c>
      <c r="E7" s="19">
        <f>Depn!S20</f>
        <v>6.633464062499999</v>
      </c>
      <c r="F7" s="19">
        <f>Depn!T20</f>
        <v>5.9003377031249995</v>
      </c>
      <c r="G7" s="19">
        <f>Depn!U20</f>
        <v>5.2509909726562505</v>
      </c>
      <c r="H7" s="19">
        <f>Depn!V20</f>
        <v>4.6754758592578121</v>
      </c>
      <c r="I7" s="19">
        <f>Depn!W20</f>
        <v>4.1650746596191404</v>
      </c>
      <c r="J7" s="19">
        <f>Depn!X20</f>
        <v>3.7121416220012695</v>
      </c>
      <c r="K7" s="19">
        <f>Depn!Y20</f>
        <v>3.3099657238935789</v>
      </c>
    </row>
    <row r="8" spans="1:11" x14ac:dyDescent="0.25">
      <c r="A8" s="10" t="s">
        <v>296</v>
      </c>
      <c r="B8" s="19">
        <f>'P&amp;L'!B27</f>
        <v>0.43499999999999994</v>
      </c>
      <c r="C8" s="19">
        <f>'P&amp;L'!C27</f>
        <v>0.43499999999999994</v>
      </c>
      <c r="D8" s="19">
        <f>'P&amp;L'!D27</f>
        <v>0.43499999999999994</v>
      </c>
      <c r="E8" s="19">
        <f>'P&amp;L'!E27</f>
        <v>0.43499999999999994</v>
      </c>
      <c r="F8" s="19">
        <f>'P&amp;L'!F27</f>
        <v>0.43499999999999994</v>
      </c>
      <c r="G8" s="19">
        <f>'P&amp;L'!G27</f>
        <v>0.43499999999999994</v>
      </c>
      <c r="H8" s="19">
        <f>'P&amp;L'!H27</f>
        <v>0.43499999999999994</v>
      </c>
      <c r="I8" s="19">
        <f>'P&amp;L'!I27</f>
        <v>0.43499999999999994</v>
      </c>
      <c r="J8" s="19">
        <f>'P&amp;L'!J27</f>
        <v>0.43499999999999994</v>
      </c>
      <c r="K8" s="19">
        <f>'P&amp;L'!K27</f>
        <v>0.43499999999999994</v>
      </c>
    </row>
    <row r="9" spans="1:11" x14ac:dyDescent="0.25">
      <c r="A9" s="10" t="s">
        <v>297</v>
      </c>
      <c r="B9" s="19">
        <f>B5+B6-B7-B8</f>
        <v>-0.7280005249999254</v>
      </c>
      <c r="C9" s="19">
        <f>C5+C6-C7-C8-C11</f>
        <v>1.8127903500001006</v>
      </c>
      <c r="D9" s="19">
        <f t="shared" ref="D9:K9" si="0">D5+D6-D7-D8</f>
        <v>7.0085823890625614</v>
      </c>
      <c r="E9" s="19">
        <f t="shared" si="0"/>
        <v>11.94322713632811</v>
      </c>
      <c r="F9" s="19">
        <f t="shared" si="0"/>
        <v>16.945643725957247</v>
      </c>
      <c r="G9" s="19">
        <f t="shared" si="0"/>
        <v>23.435732652567353</v>
      </c>
      <c r="H9" s="19">
        <f t="shared" si="0"/>
        <v>29.707115644102139</v>
      </c>
      <c r="I9" s="19">
        <f t="shared" si="0"/>
        <v>34.281435037346029</v>
      </c>
      <c r="J9" s="19">
        <f t="shared" si="0"/>
        <v>42.066248595437528</v>
      </c>
      <c r="K9" s="19">
        <f t="shared" si="0"/>
        <v>50.736971177854336</v>
      </c>
    </row>
    <row r="10" spans="1:11" x14ac:dyDescent="0.25">
      <c r="A10" s="10" t="s">
        <v>653</v>
      </c>
      <c r="B10" s="19">
        <f>-B9</f>
        <v>0.7280005249999254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0" t="s">
        <v>654</v>
      </c>
      <c r="B11" s="19">
        <v>0</v>
      </c>
      <c r="C11" s="19">
        <f>+B10</f>
        <v>0.7280005249999254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83" t="s">
        <v>641</v>
      </c>
      <c r="B12" s="22">
        <v>0</v>
      </c>
      <c r="C12" s="22">
        <f t="shared" ref="C12:K12" si="1">C9*0.3</f>
        <v>0.54383710500003013</v>
      </c>
      <c r="D12" s="22">
        <f t="shared" si="1"/>
        <v>2.1025747167187685</v>
      </c>
      <c r="E12" s="22">
        <f t="shared" si="1"/>
        <v>3.5829681408984331</v>
      </c>
      <c r="F12" s="22">
        <f t="shared" si="1"/>
        <v>5.083693117787174</v>
      </c>
      <c r="G12" s="22">
        <f t="shared" si="1"/>
        <v>7.0307197957702057</v>
      </c>
      <c r="H12" s="22">
        <f t="shared" si="1"/>
        <v>8.9121346932306409</v>
      </c>
      <c r="I12" s="22">
        <f t="shared" si="1"/>
        <v>10.284430511203809</v>
      </c>
      <c r="J12" s="22">
        <f t="shared" si="1"/>
        <v>12.619874578631258</v>
      </c>
      <c r="K12" s="22">
        <f t="shared" si="1"/>
        <v>15.2210913533563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topLeftCell="A11" zoomScale="60" zoomScaleNormal="100" workbookViewId="0">
      <selection activeCell="N25" sqref="N25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32"/>
      <c r="B1" s="133" t="s">
        <v>401</v>
      </c>
    </row>
    <row r="2" spans="1:12" x14ac:dyDescent="0.25">
      <c r="A2" s="2">
        <v>1</v>
      </c>
      <c r="B2" s="3" t="s">
        <v>373</v>
      </c>
    </row>
    <row r="3" spans="1:12" x14ac:dyDescent="0.25">
      <c r="A3" s="134" t="s">
        <v>334</v>
      </c>
      <c r="B3" s="1" t="s">
        <v>374</v>
      </c>
      <c r="C3" s="1" t="s">
        <v>627</v>
      </c>
    </row>
    <row r="4" spans="1:12" x14ac:dyDescent="0.25">
      <c r="A4" s="134" t="s">
        <v>335</v>
      </c>
      <c r="B4" s="1" t="s">
        <v>375</v>
      </c>
      <c r="C4" s="1" t="s">
        <v>627</v>
      </c>
    </row>
    <row r="6" spans="1:12" x14ac:dyDescent="0.25">
      <c r="A6" s="2">
        <v>2</v>
      </c>
      <c r="B6" s="3" t="s">
        <v>365</v>
      </c>
      <c r="C6" s="3" t="s">
        <v>376</v>
      </c>
      <c r="D6" s="3" t="s">
        <v>459</v>
      </c>
    </row>
    <row r="7" spans="1:12" x14ac:dyDescent="0.25">
      <c r="B7" s="1" t="s">
        <v>377</v>
      </c>
      <c r="C7" s="82">
        <v>3.1699999999999999E-2</v>
      </c>
      <c r="D7" s="82">
        <v>6.3299999999999995E-2</v>
      </c>
    </row>
    <row r="8" spans="1:12" x14ac:dyDescent="0.25">
      <c r="B8" s="1" t="s">
        <v>378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379</v>
      </c>
      <c r="C10" s="3" t="s">
        <v>64</v>
      </c>
    </row>
    <row r="12" spans="1:12" x14ac:dyDescent="0.25">
      <c r="A12" s="2">
        <v>4</v>
      </c>
      <c r="B12" s="3" t="s">
        <v>144</v>
      </c>
      <c r="C12" s="129" t="s">
        <v>36</v>
      </c>
      <c r="D12" s="129" t="s">
        <v>37</v>
      </c>
      <c r="E12" s="129" t="s">
        <v>38</v>
      </c>
      <c r="F12" s="129" t="s">
        <v>39</v>
      </c>
      <c r="G12" s="129" t="s">
        <v>40</v>
      </c>
      <c r="H12" s="129" t="s">
        <v>41</v>
      </c>
      <c r="I12" s="129" t="s">
        <v>42</v>
      </c>
      <c r="J12" s="219" t="s">
        <v>502</v>
      </c>
      <c r="K12" s="219" t="s">
        <v>503</v>
      </c>
      <c r="L12" s="219" t="s">
        <v>504</v>
      </c>
    </row>
    <row r="13" spans="1:12" x14ac:dyDescent="0.25">
      <c r="A13" s="134" t="s">
        <v>334</v>
      </c>
      <c r="B13" s="128" t="s">
        <v>380</v>
      </c>
      <c r="C13" s="130">
        <f>'Output Schedule'!B8</f>
        <v>0.45</v>
      </c>
      <c r="D13" s="130">
        <f>'Output Schedule'!C8</f>
        <v>0.5</v>
      </c>
      <c r="E13" s="130">
        <f>'Output Schedule'!D8</f>
        <v>0.55000000000000004</v>
      </c>
      <c r="F13" s="130">
        <f>'Output Schedule'!E8</f>
        <v>0.6</v>
      </c>
      <c r="G13" s="130">
        <f>'Output Schedule'!F8</f>
        <v>0.65</v>
      </c>
      <c r="H13" s="130">
        <f>'Output Schedule'!G8</f>
        <v>0.7</v>
      </c>
      <c r="I13" s="130">
        <f>'Output Schedule'!H8</f>
        <v>0.75</v>
      </c>
      <c r="J13" s="130">
        <f>'Output Schedule'!I8</f>
        <v>0.75</v>
      </c>
      <c r="K13" s="130">
        <f>'Output Schedule'!J8</f>
        <v>0.8</v>
      </c>
      <c r="L13" s="130">
        <f>'Output Schedule'!K8</f>
        <v>0.85000000000000009</v>
      </c>
    </row>
    <row r="14" spans="1:12" x14ac:dyDescent="0.25">
      <c r="A14" s="134" t="s">
        <v>335</v>
      </c>
      <c r="B14" s="128" t="s">
        <v>164</v>
      </c>
      <c r="C14" s="130">
        <f>'Output Schedule'!B9</f>
        <v>0.45</v>
      </c>
      <c r="D14" s="130">
        <f>'Output Schedule'!C9</f>
        <v>0.5</v>
      </c>
      <c r="E14" s="130">
        <f>'Output Schedule'!D9</f>
        <v>0.55000000000000004</v>
      </c>
      <c r="F14" s="130">
        <f>'Output Schedule'!E9</f>
        <v>0.6</v>
      </c>
      <c r="G14" s="130">
        <f>'Output Schedule'!F9</f>
        <v>0.65</v>
      </c>
      <c r="H14" s="130">
        <f>'Output Schedule'!G9</f>
        <v>0.7</v>
      </c>
      <c r="I14" s="130">
        <f>'Output Schedule'!H9</f>
        <v>0.75</v>
      </c>
      <c r="J14" s="130">
        <f>'Output Schedule'!I9</f>
        <v>0.75</v>
      </c>
      <c r="K14" s="130">
        <f>'Output Schedule'!J9</f>
        <v>0.8</v>
      </c>
      <c r="L14" s="130">
        <f>'Output Schedule'!K9</f>
        <v>0.85000000000000009</v>
      </c>
    </row>
    <row r="15" spans="1:12" hidden="1" x14ac:dyDescent="0.25">
      <c r="A15" s="134" t="s">
        <v>336</v>
      </c>
      <c r="B15" s="128" t="s">
        <v>458</v>
      </c>
      <c r="C15" s="130">
        <f>'Farm Implement Business'!G4</f>
        <v>0.4</v>
      </c>
      <c r="D15" s="130">
        <f>'Farm Implement Business'!H4</f>
        <v>0.5</v>
      </c>
      <c r="E15" s="130">
        <f>'Farm Implement Business'!I4</f>
        <v>0.55000000000000004</v>
      </c>
      <c r="F15" s="130">
        <f>'Farm Implement Business'!J4</f>
        <v>0.60000000000000009</v>
      </c>
      <c r="G15" s="130">
        <f>'Farm Implement Business'!K4</f>
        <v>0.65000000000000013</v>
      </c>
      <c r="H15" s="130">
        <f>'Farm Implement Business'!L4</f>
        <v>0.65000000000000013</v>
      </c>
      <c r="I15" s="130">
        <f>'Farm Implement Business'!M4</f>
        <v>0.65000000000000013</v>
      </c>
    </row>
    <row r="17" spans="1:12" x14ac:dyDescent="0.25">
      <c r="A17" s="2">
        <v>5</v>
      </c>
      <c r="B17" s="3" t="s">
        <v>381</v>
      </c>
    </row>
    <row r="18" spans="1:12" x14ac:dyDescent="0.25">
      <c r="A18" s="134" t="s">
        <v>334</v>
      </c>
      <c r="B18" s="128" t="str">
        <f>+'Output Schedule'!A20</f>
        <v>Polished Rice</v>
      </c>
      <c r="C18" s="268">
        <f>+'Output Schedule'!L20</f>
        <v>0.93500000000000005</v>
      </c>
    </row>
    <row r="19" spans="1:12" x14ac:dyDescent="0.25">
      <c r="A19" s="134" t="s">
        <v>335</v>
      </c>
      <c r="B19" s="128" t="str">
        <f>+'Output Schedule'!A21</f>
        <v>Raw Jari</v>
      </c>
      <c r="C19" s="268">
        <f>+'Output Schedule'!L21</f>
        <v>1.4999999999999999E-2</v>
      </c>
    </row>
    <row r="20" spans="1:12" x14ac:dyDescent="0.25">
      <c r="A20" s="134" t="s">
        <v>336</v>
      </c>
      <c r="B20" s="128" t="str">
        <f>+'Output Schedule'!A22</f>
        <v>Broken</v>
      </c>
      <c r="C20" s="268">
        <f>+'Output Schedule'!L22</f>
        <v>0.03</v>
      </c>
    </row>
    <row r="21" spans="1:12" x14ac:dyDescent="0.25">
      <c r="A21" s="134" t="s">
        <v>439</v>
      </c>
      <c r="B21" s="128" t="str">
        <f>+'Output Schedule'!A23</f>
        <v>Powder</v>
      </c>
      <c r="C21" s="268">
        <f>+'Output Schedule'!L23</f>
        <v>0.02</v>
      </c>
    </row>
    <row r="23" spans="1:12" x14ac:dyDescent="0.25">
      <c r="A23" s="2">
        <v>6</v>
      </c>
      <c r="B23" s="131" t="s">
        <v>382</v>
      </c>
      <c r="C23" s="129" t="s">
        <v>36</v>
      </c>
      <c r="D23" s="129" t="s">
        <v>37</v>
      </c>
      <c r="E23" s="129" t="s">
        <v>38</v>
      </c>
      <c r="F23" s="129" t="s">
        <v>39</v>
      </c>
      <c r="G23" s="129" t="s">
        <v>40</v>
      </c>
      <c r="H23" s="129" t="s">
        <v>41</v>
      </c>
      <c r="I23" s="129" t="s">
        <v>42</v>
      </c>
      <c r="J23" s="219" t="s">
        <v>502</v>
      </c>
      <c r="K23" s="219" t="s">
        <v>503</v>
      </c>
      <c r="L23" s="219" t="s">
        <v>504</v>
      </c>
    </row>
    <row r="24" spans="1:12" x14ac:dyDescent="0.25">
      <c r="B24" s="1" t="str">
        <f>'Output Schedule'!A34</f>
        <v>No of days of opertaion (JW Services)</v>
      </c>
      <c r="C24" s="1">
        <f>'Output Schedule'!B34</f>
        <v>68</v>
      </c>
      <c r="D24" s="1">
        <f>'Output Schedule'!C34</f>
        <v>75</v>
      </c>
      <c r="E24" s="1">
        <f>'Output Schedule'!D34</f>
        <v>83</v>
      </c>
      <c r="F24" s="1">
        <f>'Output Schedule'!E34</f>
        <v>90</v>
      </c>
      <c r="G24" s="1">
        <f>'Output Schedule'!F34</f>
        <v>98</v>
      </c>
      <c r="H24" s="1">
        <f>'Output Schedule'!G34</f>
        <v>105</v>
      </c>
      <c r="I24" s="1">
        <f>'Output Schedule'!H34</f>
        <v>113</v>
      </c>
      <c r="J24" s="1">
        <f>'Output Schedule'!I34</f>
        <v>113</v>
      </c>
      <c r="K24" s="1">
        <f>'Output Schedule'!J34</f>
        <v>120</v>
      </c>
      <c r="L24" s="1">
        <f>'Output Schedule'!K34</f>
        <v>128</v>
      </c>
    </row>
    <row r="25" spans="1:12" x14ac:dyDescent="0.25">
      <c r="B25" s="1" t="str">
        <f>'Output Schedule'!A35</f>
        <v>No of days of opertaion (Captive Operations)</v>
      </c>
      <c r="C25" s="1">
        <f>'Output Schedule'!B35</f>
        <v>68</v>
      </c>
      <c r="D25" s="1">
        <f>'Output Schedule'!C35</f>
        <v>75</v>
      </c>
      <c r="E25" s="1">
        <f>'Output Schedule'!D35</f>
        <v>83</v>
      </c>
      <c r="F25" s="1">
        <f>'Output Schedule'!E35</f>
        <v>90</v>
      </c>
      <c r="G25" s="1">
        <f>'Output Schedule'!F35</f>
        <v>98</v>
      </c>
      <c r="H25" s="1">
        <f>'Output Schedule'!G35</f>
        <v>105</v>
      </c>
      <c r="I25" s="1">
        <f>'Output Schedule'!H35</f>
        <v>113</v>
      </c>
      <c r="J25" s="1">
        <f>'Output Schedule'!I35</f>
        <v>113</v>
      </c>
      <c r="K25" s="1">
        <f>'Output Schedule'!J35</f>
        <v>120</v>
      </c>
      <c r="L25" s="1">
        <f>'Output Schedule'!K35</f>
        <v>128</v>
      </c>
    </row>
    <row r="27" spans="1:12" x14ac:dyDescent="0.25">
      <c r="B27" s="3" t="str">
        <f>'Output Schedule'!A37</f>
        <v>Total Working days of the Facilty</v>
      </c>
      <c r="C27" s="3">
        <f>'Output Schedule'!B37</f>
        <v>136</v>
      </c>
      <c r="D27" s="3">
        <f>'Output Schedule'!C37</f>
        <v>150</v>
      </c>
      <c r="E27" s="3">
        <f>'Output Schedule'!D37</f>
        <v>166</v>
      </c>
      <c r="F27" s="3">
        <f>'Output Schedule'!E37</f>
        <v>180</v>
      </c>
      <c r="G27" s="3">
        <f>'Output Schedule'!F37</f>
        <v>196</v>
      </c>
      <c r="H27" s="3">
        <f>'Output Schedule'!G37</f>
        <v>210</v>
      </c>
      <c r="I27" s="3">
        <f>'Output Schedule'!H37</f>
        <v>226</v>
      </c>
      <c r="J27" s="3">
        <f>'Output Schedule'!I37</f>
        <v>226</v>
      </c>
      <c r="K27" s="3">
        <f>'Output Schedule'!J37</f>
        <v>240</v>
      </c>
      <c r="L27" s="3">
        <f>'Output Schedule'!K37</f>
        <v>256</v>
      </c>
    </row>
    <row r="29" spans="1:12" x14ac:dyDescent="0.25">
      <c r="A29" s="60">
        <v>7</v>
      </c>
      <c r="B29" s="1" t="s">
        <v>383</v>
      </c>
      <c r="C29" s="1" t="s">
        <v>384</v>
      </c>
    </row>
    <row r="30" spans="1:12" x14ac:dyDescent="0.25">
      <c r="A30" s="60">
        <v>8</v>
      </c>
      <c r="B30" s="1" t="s">
        <v>385</v>
      </c>
      <c r="C30" s="1" t="s">
        <v>384</v>
      </c>
    </row>
    <row r="31" spans="1:12" hidden="1" x14ac:dyDescent="0.25">
      <c r="A31" s="60">
        <v>9</v>
      </c>
      <c r="B31" s="1" t="s">
        <v>464</v>
      </c>
      <c r="C31" s="1" t="s">
        <v>472</v>
      </c>
    </row>
    <row r="33" spans="1:12" x14ac:dyDescent="0.25">
      <c r="A33" s="60">
        <v>9</v>
      </c>
      <c r="B33" s="3" t="s">
        <v>386</v>
      </c>
      <c r="C33" s="129" t="s">
        <v>36</v>
      </c>
      <c r="D33" s="129" t="s">
        <v>37</v>
      </c>
      <c r="E33" s="129" t="s">
        <v>38</v>
      </c>
      <c r="F33" s="129" t="s">
        <v>39</v>
      </c>
      <c r="G33" s="129" t="s">
        <v>40</v>
      </c>
      <c r="H33" s="129" t="s">
        <v>41</v>
      </c>
      <c r="I33" s="129" t="s">
        <v>42</v>
      </c>
      <c r="J33" s="219" t="s">
        <v>502</v>
      </c>
      <c r="K33" s="219" t="s">
        <v>503</v>
      </c>
      <c r="L33" s="219" t="s">
        <v>504</v>
      </c>
    </row>
    <row r="34" spans="1:12" x14ac:dyDescent="0.25">
      <c r="B34" s="1" t="s">
        <v>626</v>
      </c>
      <c r="C34" s="25">
        <f>'Purchase Schedule'!B4</f>
        <v>45200</v>
      </c>
      <c r="D34" s="25">
        <f>'Purchase Schedule'!C4</f>
        <v>47460</v>
      </c>
      <c r="E34" s="25">
        <f>'Purchase Schedule'!D4</f>
        <v>49830</v>
      </c>
      <c r="F34" s="25">
        <f>'Purchase Schedule'!E4</f>
        <v>52320</v>
      </c>
      <c r="G34" s="25">
        <f>'Purchase Schedule'!F4</f>
        <v>54940</v>
      </c>
      <c r="H34" s="25">
        <f>'Purchase Schedule'!G4</f>
        <v>57690</v>
      </c>
      <c r="I34" s="25">
        <f>'Purchase Schedule'!H4</f>
        <v>60570</v>
      </c>
      <c r="J34" s="25">
        <f>'Purchase Schedule'!I4</f>
        <v>63600</v>
      </c>
      <c r="K34" s="25">
        <f>'Purchase Schedule'!J4</f>
        <v>66780</v>
      </c>
      <c r="L34" s="25">
        <f>'Purchase Schedule'!K4</f>
        <v>70120</v>
      </c>
    </row>
    <row r="35" spans="1:12" x14ac:dyDescent="0.25">
      <c r="C35" s="25"/>
      <c r="D35" s="25"/>
      <c r="E35" s="25"/>
      <c r="F35" s="25"/>
      <c r="G35" s="25"/>
      <c r="H35" s="25"/>
      <c r="I35" s="25"/>
    </row>
    <row r="36" spans="1:12" hidden="1" x14ac:dyDescent="0.25">
      <c r="C36" s="188" t="s">
        <v>36</v>
      </c>
      <c r="D36" s="188" t="s">
        <v>37</v>
      </c>
      <c r="E36" s="188" t="s">
        <v>38</v>
      </c>
      <c r="F36" s="188" t="s">
        <v>39</v>
      </c>
      <c r="G36" s="188" t="s">
        <v>40</v>
      </c>
      <c r="H36" s="188" t="s">
        <v>41</v>
      </c>
      <c r="I36" s="188" t="s">
        <v>42</v>
      </c>
    </row>
    <row r="37" spans="1:12" hidden="1" x14ac:dyDescent="0.25">
      <c r="A37" s="60">
        <v>11</v>
      </c>
      <c r="B37" s="1" t="s">
        <v>466</v>
      </c>
      <c r="C37" s="25">
        <f>'Production Level Support'!B3</f>
        <v>0</v>
      </c>
      <c r="D37" s="25">
        <f>'Production Level Support'!C3</f>
        <v>0</v>
      </c>
      <c r="E37" s="25">
        <f>'Production Level Support'!D3</f>
        <v>0</v>
      </c>
      <c r="F37" s="25">
        <f>'Production Level Support'!E3</f>
        <v>0</v>
      </c>
      <c r="G37" s="25">
        <f>'Production Level Support'!F3</f>
        <v>0</v>
      </c>
      <c r="H37" s="25">
        <f>'Production Level Support'!G3</f>
        <v>0</v>
      </c>
      <c r="I37" s="25">
        <f>'Production Level Support'!H3</f>
        <v>0</v>
      </c>
    </row>
    <row r="38" spans="1:12" hidden="1" x14ac:dyDescent="0.25">
      <c r="C38" s="25"/>
      <c r="D38" s="25"/>
      <c r="E38" s="25"/>
      <c r="F38" s="25"/>
      <c r="G38" s="25"/>
      <c r="H38" s="25"/>
      <c r="I38" s="25"/>
    </row>
    <row r="39" spans="1:12" hidden="1" x14ac:dyDescent="0.25">
      <c r="C39" s="188" t="s">
        <v>36</v>
      </c>
      <c r="D39" s="188" t="s">
        <v>37</v>
      </c>
      <c r="E39" s="188" t="s">
        <v>38</v>
      </c>
      <c r="F39" s="188" t="s">
        <v>39</v>
      </c>
      <c r="G39" s="188" t="s">
        <v>40</v>
      </c>
      <c r="H39" s="188" t="s">
        <v>41</v>
      </c>
      <c r="I39" s="188" t="s">
        <v>42</v>
      </c>
    </row>
    <row r="40" spans="1:12" hidden="1" x14ac:dyDescent="0.25">
      <c r="A40" s="60">
        <v>12</v>
      </c>
      <c r="B40" s="1" t="s">
        <v>469</v>
      </c>
      <c r="C40" s="38">
        <v>0.85</v>
      </c>
      <c r="D40" s="38">
        <v>0.85</v>
      </c>
      <c r="E40" s="38">
        <v>0.85</v>
      </c>
      <c r="F40" s="38">
        <v>0.85</v>
      </c>
      <c r="G40" s="38">
        <v>0.85</v>
      </c>
      <c r="H40" s="38">
        <v>0.85</v>
      </c>
      <c r="I40" s="38">
        <v>0.85</v>
      </c>
    </row>
    <row r="41" spans="1:12" x14ac:dyDescent="0.25">
      <c r="C41" s="25"/>
      <c r="D41" s="25"/>
      <c r="E41" s="25"/>
      <c r="F41" s="25"/>
      <c r="G41" s="25"/>
      <c r="H41" s="25"/>
      <c r="I41" s="25"/>
    </row>
    <row r="42" spans="1:12" x14ac:dyDescent="0.25">
      <c r="A42" s="60">
        <v>10</v>
      </c>
      <c r="B42" s="3" t="s">
        <v>467</v>
      </c>
      <c r="C42" s="129" t="s">
        <v>36</v>
      </c>
      <c r="D42" s="129" t="s">
        <v>37</v>
      </c>
      <c r="E42" s="129" t="s">
        <v>38</v>
      </c>
      <c r="F42" s="129" t="s">
        <v>39</v>
      </c>
      <c r="G42" s="129" t="s">
        <v>40</v>
      </c>
      <c r="H42" s="129" t="s">
        <v>41</v>
      </c>
      <c r="I42" s="129" t="s">
        <v>42</v>
      </c>
      <c r="J42" s="219" t="s">
        <v>502</v>
      </c>
      <c r="K42" s="219" t="s">
        <v>503</v>
      </c>
      <c r="L42" s="219" t="s">
        <v>504</v>
      </c>
    </row>
    <row r="43" spans="1:12" x14ac:dyDescent="0.25">
      <c r="B43" s="1" t="s">
        <v>625</v>
      </c>
      <c r="C43" s="25">
        <f>'Output Schedule'!B13</f>
        <v>200</v>
      </c>
      <c r="D43" s="25">
        <f>'Output Schedule'!C13</f>
        <v>216</v>
      </c>
      <c r="E43" s="25">
        <f>'Output Schedule'!D13</f>
        <v>233</v>
      </c>
      <c r="F43" s="25">
        <f>'Output Schedule'!E13</f>
        <v>252</v>
      </c>
      <c r="G43" s="25">
        <f>'Output Schedule'!F13</f>
        <v>272</v>
      </c>
      <c r="H43" s="25">
        <f>'Output Schedule'!G13</f>
        <v>294</v>
      </c>
      <c r="I43" s="25">
        <f>'Output Schedule'!H13</f>
        <v>318</v>
      </c>
      <c r="J43" s="25">
        <f>'Output Schedule'!I13</f>
        <v>343</v>
      </c>
      <c r="K43" s="25">
        <f>'Output Schedule'!J13</f>
        <v>370</v>
      </c>
      <c r="L43" s="25">
        <f>'Output Schedule'!K13</f>
        <v>400</v>
      </c>
    </row>
    <row r="44" spans="1:12" hidden="1" x14ac:dyDescent="0.25">
      <c r="A44" s="60" t="s">
        <v>335</v>
      </c>
      <c r="B44" s="1" t="s">
        <v>468</v>
      </c>
      <c r="C44" s="25"/>
      <c r="D44" s="25"/>
      <c r="E44" s="25"/>
      <c r="F44" s="25"/>
      <c r="G44" s="25"/>
      <c r="H44" s="25"/>
      <c r="I44" s="25"/>
    </row>
    <row r="45" spans="1:12" hidden="1" x14ac:dyDescent="0.25">
      <c r="B45" s="189" t="s">
        <v>470</v>
      </c>
      <c r="C45" s="25">
        <f>'Farm Implement Business'!E5</f>
        <v>1500</v>
      </c>
      <c r="D45" s="25"/>
      <c r="E45" s="25"/>
      <c r="F45" s="25"/>
      <c r="G45" s="25"/>
      <c r="H45" s="25"/>
      <c r="I45" s="25"/>
    </row>
    <row r="46" spans="1:12" hidden="1" x14ac:dyDescent="0.25">
      <c r="B46" s="189" t="s">
        <v>471</v>
      </c>
      <c r="C46" s="25">
        <f>'Farm Implement Business'!E6</f>
        <v>1000</v>
      </c>
      <c r="D46" s="25"/>
      <c r="E46" s="25"/>
      <c r="F46" s="25"/>
      <c r="G46" s="25"/>
      <c r="H46" s="25"/>
      <c r="I46" s="25"/>
    </row>
    <row r="48" spans="1:12" x14ac:dyDescent="0.25">
      <c r="A48" s="60">
        <v>11</v>
      </c>
      <c r="B48" s="3" t="s">
        <v>387</v>
      </c>
      <c r="C48" s="1" t="s">
        <v>388</v>
      </c>
    </row>
    <row r="50" spans="1:12" x14ac:dyDescent="0.25">
      <c r="A50" s="60">
        <v>12</v>
      </c>
      <c r="B50" s="3" t="s">
        <v>389</v>
      </c>
      <c r="C50" s="129" t="s">
        <v>36</v>
      </c>
      <c r="D50" s="129" t="s">
        <v>37</v>
      </c>
      <c r="E50" s="129" t="s">
        <v>38</v>
      </c>
      <c r="F50" s="129" t="s">
        <v>39</v>
      </c>
      <c r="G50" s="129" t="s">
        <v>40</v>
      </c>
      <c r="H50" s="129" t="s">
        <v>41</v>
      </c>
      <c r="I50" s="129" t="s">
        <v>42</v>
      </c>
      <c r="J50" s="219" t="s">
        <v>502</v>
      </c>
      <c r="K50" s="219" t="s">
        <v>503</v>
      </c>
      <c r="L50" s="219" t="s">
        <v>504</v>
      </c>
    </row>
    <row r="51" spans="1:12" x14ac:dyDescent="0.25">
      <c r="A51" s="134" t="s">
        <v>334</v>
      </c>
      <c r="B51" s="1" t="str">
        <f>'CS-FG'!B29</f>
        <v>Polished Rice</v>
      </c>
      <c r="C51" s="336">
        <f>'CS-FG'!C29</f>
        <v>50000</v>
      </c>
      <c r="D51" s="336">
        <f>'CS-FG'!D29</f>
        <v>52500</v>
      </c>
      <c r="E51" s="336">
        <f>'CS-FG'!E29</f>
        <v>55130</v>
      </c>
      <c r="F51" s="336">
        <f>'CS-FG'!F29</f>
        <v>57890</v>
      </c>
      <c r="G51" s="336">
        <f>'CS-FG'!G29</f>
        <v>60780</v>
      </c>
      <c r="H51" s="336">
        <f>'CS-FG'!H29</f>
        <v>63820</v>
      </c>
      <c r="I51" s="336">
        <f>'CS-FG'!I29</f>
        <v>67010</v>
      </c>
      <c r="J51" s="336">
        <f>'CS-FG'!J29</f>
        <v>70360</v>
      </c>
      <c r="K51" s="336">
        <f>'CS-FG'!K29</f>
        <v>73880</v>
      </c>
      <c r="L51" s="336">
        <f>'CS-FG'!L29</f>
        <v>77570</v>
      </c>
    </row>
    <row r="52" spans="1:12" x14ac:dyDescent="0.25">
      <c r="A52" s="134" t="s">
        <v>335</v>
      </c>
      <c r="B52" s="1" t="str">
        <f>'CS-FG'!B30</f>
        <v>Raw Jari</v>
      </c>
      <c r="C52" s="336">
        <f>'CS-FG'!C30</f>
        <v>14000</v>
      </c>
      <c r="D52" s="336">
        <f>'CS-FG'!D30</f>
        <v>14700</v>
      </c>
      <c r="E52" s="336">
        <f>'CS-FG'!E30</f>
        <v>15440</v>
      </c>
      <c r="F52" s="336">
        <f>'CS-FG'!F30</f>
        <v>16210</v>
      </c>
      <c r="G52" s="336">
        <f>'CS-FG'!G30</f>
        <v>17020</v>
      </c>
      <c r="H52" s="336">
        <f>'CS-FG'!H30</f>
        <v>17870</v>
      </c>
      <c r="I52" s="336">
        <f>'CS-FG'!I30</f>
        <v>18760</v>
      </c>
      <c r="J52" s="336">
        <f>'CS-FG'!J30</f>
        <v>19700</v>
      </c>
      <c r="K52" s="336">
        <f>'CS-FG'!K30</f>
        <v>20690</v>
      </c>
      <c r="L52" s="336">
        <f>'CS-FG'!L30</f>
        <v>21720</v>
      </c>
    </row>
    <row r="53" spans="1:12" x14ac:dyDescent="0.25">
      <c r="A53" s="134" t="s">
        <v>336</v>
      </c>
      <c r="B53" s="1" t="str">
        <f>'CS-FG'!B31</f>
        <v>Broken</v>
      </c>
      <c r="C53" s="336">
        <f>'CS-FG'!C31</f>
        <v>25000</v>
      </c>
      <c r="D53" s="336">
        <f>'CS-FG'!D31</f>
        <v>26250</v>
      </c>
      <c r="E53" s="336">
        <f>'CS-FG'!E31</f>
        <v>27560</v>
      </c>
      <c r="F53" s="336">
        <f>'CS-FG'!F31</f>
        <v>28940</v>
      </c>
      <c r="G53" s="336">
        <f>'CS-FG'!G31</f>
        <v>30390</v>
      </c>
      <c r="H53" s="336">
        <f>'CS-FG'!H31</f>
        <v>31910</v>
      </c>
      <c r="I53" s="336">
        <f>'CS-FG'!I31</f>
        <v>33510</v>
      </c>
      <c r="J53" s="336">
        <f>'CS-FG'!J31</f>
        <v>35190</v>
      </c>
      <c r="K53" s="336">
        <f>'CS-FG'!K31</f>
        <v>36950</v>
      </c>
      <c r="L53" s="336">
        <f>'CS-FG'!L31</f>
        <v>38800</v>
      </c>
    </row>
    <row r="54" spans="1:12" x14ac:dyDescent="0.25">
      <c r="A54" s="134" t="s">
        <v>439</v>
      </c>
      <c r="B54" s="1" t="str">
        <f>'CS-FG'!B32</f>
        <v>Powder</v>
      </c>
      <c r="C54" s="336">
        <f>'CS-FG'!C32</f>
        <v>12000</v>
      </c>
      <c r="D54" s="336">
        <f>'CS-FG'!D32</f>
        <v>12600</v>
      </c>
      <c r="E54" s="336">
        <f>'CS-FG'!E32</f>
        <v>13230</v>
      </c>
      <c r="F54" s="336">
        <f>'CS-FG'!F32</f>
        <v>13890</v>
      </c>
      <c r="G54" s="336">
        <f>'CS-FG'!G32</f>
        <v>14580</v>
      </c>
      <c r="H54" s="336">
        <f>'CS-FG'!H32</f>
        <v>15310</v>
      </c>
      <c r="I54" s="336">
        <f>'CS-FG'!I32</f>
        <v>16080</v>
      </c>
      <c r="J54" s="336">
        <f>'CS-FG'!J32</f>
        <v>16880</v>
      </c>
      <c r="K54" s="336">
        <f>'CS-FG'!K32</f>
        <v>17720</v>
      </c>
      <c r="L54" s="336">
        <f>'CS-FG'!L32</f>
        <v>18610</v>
      </c>
    </row>
    <row r="56" spans="1:12" hidden="1" x14ac:dyDescent="0.25">
      <c r="A56" s="60">
        <v>13</v>
      </c>
      <c r="B56" s="3" t="s">
        <v>390</v>
      </c>
      <c r="C56" s="38">
        <v>0.09</v>
      </c>
    </row>
    <row r="57" spans="1:12" hidden="1" x14ac:dyDescent="0.25"/>
    <row r="58" spans="1:12" hidden="1" x14ac:dyDescent="0.25">
      <c r="A58" s="60">
        <v>14</v>
      </c>
      <c r="B58" s="3" t="s">
        <v>391</v>
      </c>
      <c r="C58" s="1" t="s">
        <v>392</v>
      </c>
    </row>
    <row r="59" spans="1:12" hidden="1" x14ac:dyDescent="0.25"/>
    <row r="60" spans="1:12" hidden="1" x14ac:dyDescent="0.25">
      <c r="A60" s="60">
        <v>15</v>
      </c>
      <c r="B60" s="3" t="s">
        <v>393</v>
      </c>
      <c r="C60" s="82">
        <v>0.309</v>
      </c>
    </row>
    <row r="61" spans="1:12" hidden="1" x14ac:dyDescent="0.25"/>
    <row r="62" spans="1:12" x14ac:dyDescent="0.25">
      <c r="A62" s="60">
        <v>13</v>
      </c>
      <c r="B62" s="3" t="s">
        <v>394</v>
      </c>
      <c r="C62" s="1" t="s">
        <v>395</v>
      </c>
    </row>
    <row r="64" spans="1:12" x14ac:dyDescent="0.25">
      <c r="A64" s="60">
        <v>14</v>
      </c>
      <c r="B64" s="3" t="s">
        <v>396</v>
      </c>
      <c r="C64" s="1" t="s">
        <v>384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zoomScale="60" zoomScaleNormal="100" workbookViewId="0">
      <selection activeCell="A4" sqref="A4:L50"/>
    </sheetView>
  </sheetViews>
  <sheetFormatPr defaultRowHeight="15" x14ac:dyDescent="0.25"/>
  <cols>
    <col min="1" max="1" width="29.7109375" style="84" bestFit="1" customWidth="1"/>
    <col min="2" max="2" width="10.42578125" style="84" bestFit="1" customWidth="1"/>
    <col min="3" max="4" width="10.85546875" style="84" bestFit="1" customWidth="1"/>
    <col min="5" max="12" width="11.85546875" style="84" bestFit="1" customWidth="1"/>
    <col min="13" max="16384" width="9.140625" style="84"/>
  </cols>
  <sheetData>
    <row r="1" spans="1:12" x14ac:dyDescent="0.25">
      <c r="A1" s="304"/>
      <c r="B1" s="304"/>
      <c r="C1" s="304"/>
      <c r="D1" s="304"/>
      <c r="E1" s="304"/>
      <c r="F1" s="304"/>
      <c r="G1" s="304"/>
    </row>
    <row r="2" spans="1:12" x14ac:dyDescent="0.25">
      <c r="A2" s="304" t="s">
        <v>298</v>
      </c>
      <c r="B2" s="304"/>
      <c r="C2" s="304"/>
      <c r="D2" s="304"/>
      <c r="E2" s="304"/>
      <c r="F2" s="304"/>
      <c r="G2" s="304"/>
      <c r="H2" s="304"/>
      <c r="I2" s="304"/>
    </row>
    <row r="4" spans="1:12" s="86" customFormat="1" x14ac:dyDescent="0.25">
      <c r="A4" s="222" t="s">
        <v>1</v>
      </c>
      <c r="B4" s="222" t="s">
        <v>453</v>
      </c>
      <c r="C4" s="222" t="s">
        <v>36</v>
      </c>
      <c r="D4" s="222" t="s">
        <v>37</v>
      </c>
      <c r="E4" s="222" t="s">
        <v>38</v>
      </c>
      <c r="F4" s="222" t="s">
        <v>39</v>
      </c>
      <c r="G4" s="222" t="s">
        <v>40</v>
      </c>
      <c r="H4" s="222" t="s">
        <v>41</v>
      </c>
      <c r="I4" s="222" t="s">
        <v>42</v>
      </c>
      <c r="J4" s="222" t="s">
        <v>502</v>
      </c>
      <c r="K4" s="222" t="s">
        <v>503</v>
      </c>
      <c r="L4" s="222" t="s">
        <v>504</v>
      </c>
    </row>
    <row r="5" spans="1:12" x14ac:dyDescent="0.25">
      <c r="A5" s="85" t="s">
        <v>299</v>
      </c>
      <c r="B5" s="85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5">
      <c r="A6" s="87"/>
      <c r="B6" s="8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12" x14ac:dyDescent="0.25">
      <c r="A7" s="34" t="s">
        <v>300</v>
      </c>
      <c r="B7" s="180">
        <f>'Project Glance'!B19</f>
        <v>42.333557500000005</v>
      </c>
      <c r="C7" s="88">
        <f>'Project Glance'!B19</f>
        <v>42.333557500000005</v>
      </c>
      <c r="D7" s="88">
        <f>C7</f>
        <v>42.333557500000005</v>
      </c>
      <c r="E7" s="88">
        <f t="shared" ref="E7:I7" si="0">D7</f>
        <v>42.333557500000005</v>
      </c>
      <c r="F7" s="88">
        <f t="shared" si="0"/>
        <v>42.333557500000005</v>
      </c>
      <c r="G7" s="88">
        <f t="shared" si="0"/>
        <v>42.333557500000005</v>
      </c>
      <c r="H7" s="88">
        <f t="shared" si="0"/>
        <v>42.333557500000005</v>
      </c>
      <c r="I7" s="88">
        <f t="shared" si="0"/>
        <v>42.333557500000005</v>
      </c>
      <c r="J7" s="88">
        <f t="shared" ref="J7" si="1">I7</f>
        <v>42.333557500000005</v>
      </c>
      <c r="K7" s="88">
        <f t="shared" ref="K7" si="2">J7</f>
        <v>42.333557500000005</v>
      </c>
      <c r="L7" s="88">
        <f t="shared" ref="L7" si="3">K7</f>
        <v>42.333557500000005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301</v>
      </c>
      <c r="B9" s="89">
        <f t="shared" ref="B9:I9" si="4">SUM(B7:B8)</f>
        <v>42.333557500000005</v>
      </c>
      <c r="C9" s="89">
        <f t="shared" si="4"/>
        <v>42.333557500000005</v>
      </c>
      <c r="D9" s="89">
        <f t="shared" si="4"/>
        <v>42.333557500000005</v>
      </c>
      <c r="E9" s="89">
        <f t="shared" si="4"/>
        <v>42.333557500000005</v>
      </c>
      <c r="F9" s="89">
        <f t="shared" si="4"/>
        <v>42.333557500000005</v>
      </c>
      <c r="G9" s="89">
        <f t="shared" si="4"/>
        <v>42.333557500000005</v>
      </c>
      <c r="H9" s="89">
        <f t="shared" si="4"/>
        <v>42.333557500000005</v>
      </c>
      <c r="I9" s="89">
        <f t="shared" si="4"/>
        <v>42.333557500000005</v>
      </c>
      <c r="J9" s="89">
        <f t="shared" ref="J9:L9" si="5">SUM(J7:J8)</f>
        <v>42.333557500000005</v>
      </c>
      <c r="K9" s="89">
        <f t="shared" si="5"/>
        <v>42.333557500000005</v>
      </c>
      <c r="L9" s="89">
        <f t="shared" si="5"/>
        <v>42.333557500000005</v>
      </c>
    </row>
    <row r="10" spans="1:12" x14ac:dyDescent="0.25">
      <c r="A10" s="34"/>
      <c r="B10" s="34"/>
      <c r="C10" s="88"/>
      <c r="D10" s="88"/>
      <c r="E10" s="88"/>
      <c r="F10" s="88"/>
      <c r="G10" s="88"/>
      <c r="H10" s="77"/>
      <c r="I10" s="77"/>
      <c r="J10" s="77"/>
      <c r="K10" s="77"/>
      <c r="L10" s="77"/>
    </row>
    <row r="11" spans="1:12" x14ac:dyDescent="0.25">
      <c r="A11" s="90" t="s">
        <v>302</v>
      </c>
      <c r="B11" s="90"/>
      <c r="C11" s="88"/>
      <c r="D11" s="88"/>
      <c r="E11" s="88"/>
      <c r="F11" s="88"/>
      <c r="G11" s="88"/>
      <c r="H11" s="77"/>
      <c r="I11" s="77"/>
      <c r="J11" s="77"/>
      <c r="K11" s="77"/>
      <c r="L11" s="77"/>
    </row>
    <row r="12" spans="1:12" x14ac:dyDescent="0.25">
      <c r="A12" s="90"/>
      <c r="B12" s="90"/>
      <c r="C12" s="88"/>
      <c r="D12" s="88"/>
      <c r="E12" s="88"/>
      <c r="F12" s="88"/>
      <c r="G12" s="88"/>
      <c r="H12" s="77"/>
      <c r="I12" s="77"/>
      <c r="J12" s="77"/>
      <c r="K12" s="77"/>
      <c r="L12" s="77"/>
    </row>
    <row r="13" spans="1:12" x14ac:dyDescent="0.25">
      <c r="A13" s="77" t="s">
        <v>329</v>
      </c>
      <c r="B13" s="180">
        <f>'Project Glance'!B20</f>
        <v>54.809999999999995</v>
      </c>
      <c r="C13" s="88">
        <f>B13</f>
        <v>54.809999999999995</v>
      </c>
      <c r="D13" s="88">
        <f t="shared" ref="D13:I13" si="6">C13</f>
        <v>54.809999999999995</v>
      </c>
      <c r="E13" s="88">
        <f t="shared" si="6"/>
        <v>54.809999999999995</v>
      </c>
      <c r="F13" s="88">
        <f t="shared" si="6"/>
        <v>54.809999999999995</v>
      </c>
      <c r="G13" s="88">
        <f t="shared" si="6"/>
        <v>54.809999999999995</v>
      </c>
      <c r="H13" s="88">
        <f t="shared" si="6"/>
        <v>54.809999999999995</v>
      </c>
      <c r="I13" s="88">
        <f t="shared" si="6"/>
        <v>54.809999999999995</v>
      </c>
      <c r="J13" s="88">
        <f t="shared" ref="J13" si="7">I13</f>
        <v>54.809999999999995</v>
      </c>
      <c r="K13" s="88">
        <f t="shared" ref="K13" si="8">J13</f>
        <v>54.809999999999995</v>
      </c>
      <c r="L13" s="88">
        <f t="shared" ref="L13" si="9">K13</f>
        <v>54.809999999999995</v>
      </c>
    </row>
    <row r="14" spans="1:12" x14ac:dyDescent="0.25">
      <c r="A14" s="90"/>
      <c r="B14" s="90"/>
      <c r="C14" s="88"/>
      <c r="D14" s="88"/>
      <c r="E14" s="88"/>
      <c r="F14" s="88"/>
      <c r="G14" s="88"/>
      <c r="H14" s="77"/>
      <c r="I14" s="77"/>
      <c r="J14" s="77"/>
      <c r="K14" s="77"/>
      <c r="L14" s="77"/>
    </row>
    <row r="15" spans="1:12" x14ac:dyDescent="0.25">
      <c r="A15" s="90" t="s">
        <v>303</v>
      </c>
      <c r="B15" s="90"/>
      <c r="C15" s="88"/>
      <c r="D15" s="88"/>
      <c r="E15" s="88"/>
      <c r="F15" s="88"/>
      <c r="G15" s="88"/>
      <c r="H15" s="77"/>
      <c r="I15" s="77"/>
      <c r="J15" s="77"/>
      <c r="K15" s="77"/>
      <c r="L15" s="77"/>
    </row>
    <row r="16" spans="1:12" x14ac:dyDescent="0.25">
      <c r="A16" s="77" t="s">
        <v>304</v>
      </c>
      <c r="B16" s="88">
        <v>0</v>
      </c>
      <c r="C16" s="88">
        <v>0</v>
      </c>
      <c r="D16" s="88">
        <f>C19</f>
        <v>5.9278594750000746</v>
      </c>
      <c r="E16" s="88">
        <f>D19</f>
        <v>13.521298245000072</v>
      </c>
      <c r="F16" s="88">
        <f>E19</f>
        <v>23.087397167343866</v>
      </c>
      <c r="G16" s="88">
        <f>F19</f>
        <v>35.279480225273545</v>
      </c>
      <c r="H16" s="88">
        <f t="shared" ref="H16:I16" si="10">G19</f>
        <v>50.240128536568619</v>
      </c>
      <c r="I16" s="88">
        <f t="shared" si="10"/>
        <v>69.09449236602201</v>
      </c>
      <c r="J16" s="88">
        <f t="shared" ref="J16" si="11">I19</f>
        <v>91.763309176151324</v>
      </c>
      <c r="K16" s="88">
        <f t="shared" ref="K16" si="12">J19</f>
        <v>117.12374836191269</v>
      </c>
      <c r="L16" s="88">
        <f t="shared" ref="L16" si="13">K19</f>
        <v>147.48062400072024</v>
      </c>
    </row>
    <row r="17" spans="1:92" x14ac:dyDescent="0.25">
      <c r="A17" s="77"/>
      <c r="B17" s="88"/>
      <c r="C17" s="91"/>
      <c r="D17" s="88"/>
      <c r="E17" s="88"/>
      <c r="F17" s="88"/>
      <c r="G17" s="88"/>
      <c r="H17" s="77"/>
      <c r="I17" s="77"/>
      <c r="J17" s="77"/>
      <c r="K17" s="77"/>
      <c r="L17" s="77"/>
    </row>
    <row r="18" spans="1:92" x14ac:dyDescent="0.25">
      <c r="A18" s="77" t="s">
        <v>305</v>
      </c>
      <c r="B18" s="88">
        <v>0</v>
      </c>
      <c r="C18" s="88">
        <f>'P&amp;L'!B36</f>
        <v>5.9278594750000746</v>
      </c>
      <c r="D18" s="88">
        <f>'P&amp;L'!C36</f>
        <v>7.593438769999997</v>
      </c>
      <c r="E18" s="88">
        <f>'P&amp;L'!D36</f>
        <v>9.5660989223437927</v>
      </c>
      <c r="F18" s="88">
        <f>'P&amp;L'!E36</f>
        <v>12.192083057929677</v>
      </c>
      <c r="G18" s="88">
        <f>'P&amp;L'!F36</f>
        <v>14.960648311295071</v>
      </c>
      <c r="H18" s="88">
        <f>'P&amp;L'!G36</f>
        <v>18.854363829453394</v>
      </c>
      <c r="I18" s="88">
        <f>'P&amp;L'!H36</f>
        <v>22.668816810129307</v>
      </c>
      <c r="J18" s="88">
        <f>'P&amp;L'!I36</f>
        <v>25.360439185761365</v>
      </c>
      <c r="K18" s="88">
        <f>'P&amp;L'!J36</f>
        <v>30.356875638807541</v>
      </c>
      <c r="L18" s="88">
        <f>'P&amp;L'!K36</f>
        <v>36.024205548391613</v>
      </c>
    </row>
    <row r="19" spans="1:92" x14ac:dyDescent="0.25">
      <c r="A19" s="77" t="s">
        <v>306</v>
      </c>
      <c r="B19" s="88">
        <f t="shared" ref="B19:G19" si="14">B16+B18</f>
        <v>0</v>
      </c>
      <c r="C19" s="88">
        <f t="shared" si="14"/>
        <v>5.9278594750000746</v>
      </c>
      <c r="D19" s="88">
        <f t="shared" si="14"/>
        <v>13.521298245000072</v>
      </c>
      <c r="E19" s="88">
        <f t="shared" si="14"/>
        <v>23.087397167343866</v>
      </c>
      <c r="F19" s="88">
        <f t="shared" si="14"/>
        <v>35.279480225273545</v>
      </c>
      <c r="G19" s="88">
        <f t="shared" si="14"/>
        <v>50.240128536568619</v>
      </c>
      <c r="H19" s="88">
        <f t="shared" ref="H19:I19" si="15">H16+H18</f>
        <v>69.09449236602201</v>
      </c>
      <c r="I19" s="88">
        <f t="shared" si="15"/>
        <v>91.763309176151324</v>
      </c>
      <c r="J19" s="88">
        <f t="shared" ref="J19:L19" si="16">J16+J18</f>
        <v>117.12374836191269</v>
      </c>
      <c r="K19" s="88">
        <f t="shared" si="16"/>
        <v>147.48062400072024</v>
      </c>
      <c r="L19" s="88">
        <f t="shared" si="16"/>
        <v>183.50482954911186</v>
      </c>
    </row>
    <row r="20" spans="1:92" x14ac:dyDescent="0.25">
      <c r="A20" s="77" t="s">
        <v>307</v>
      </c>
      <c r="B20" s="92">
        <f>'Project Glance'!B21</f>
        <v>0</v>
      </c>
      <c r="C20" s="88">
        <f>'TL Schedule'!C7</f>
        <v>0</v>
      </c>
      <c r="D20" s="88">
        <f>'TL Schedule'!D7</f>
        <v>0</v>
      </c>
      <c r="E20" s="88">
        <f>'TL Schedule'!E7</f>
        <v>0</v>
      </c>
      <c r="F20" s="88">
        <f>'TL Schedule'!F7</f>
        <v>0</v>
      </c>
      <c r="G20" s="88">
        <f>'TL Schedule'!G7</f>
        <v>0</v>
      </c>
      <c r="H20" s="88">
        <f>'TL Schedule'!H7</f>
        <v>0</v>
      </c>
      <c r="I20" s="88">
        <f>'TL Schedule'!I7</f>
        <v>0</v>
      </c>
      <c r="J20" s="88">
        <f>'TL Schedule'!J7</f>
        <v>0</v>
      </c>
      <c r="K20" s="88">
        <f>'TL Schedule'!K7</f>
        <v>0</v>
      </c>
      <c r="L20" s="88">
        <f>'TL Schedule'!L7</f>
        <v>0</v>
      </c>
    </row>
    <row r="21" spans="1:92" x14ac:dyDescent="0.25">
      <c r="A21" s="77" t="s">
        <v>308</v>
      </c>
      <c r="B21" s="88">
        <v>0</v>
      </c>
      <c r="C21" s="88">
        <f>'WC Assessment'!C15</f>
        <v>17.38067250000001</v>
      </c>
      <c r="D21" s="88">
        <f>'WC Assessment'!D15</f>
        <v>22.493712500000001</v>
      </c>
      <c r="E21" s="88">
        <f>'WC Assessment'!E15</f>
        <v>26.051487343750008</v>
      </c>
      <c r="F21" s="88">
        <f>'WC Assessment'!F15</f>
        <v>30.227174179687506</v>
      </c>
      <c r="G21" s="88">
        <f>'WC Assessment'!G15</f>
        <v>34.432692107421857</v>
      </c>
      <c r="H21" s="88">
        <f>'WC Assessment'!H15</f>
        <v>39.416091994042986</v>
      </c>
      <c r="I21" s="88">
        <f>'WC Assessment'!I15</f>
        <v>44.408544406245127</v>
      </c>
      <c r="J21" s="88">
        <f>'WC Assessment'!J15</f>
        <v>47.116342532807366</v>
      </c>
      <c r="K21" s="88">
        <f>'WC Assessment'!K15</f>
        <v>52.59379259694775</v>
      </c>
      <c r="L21" s="88">
        <f>'WC Assessment'!L15</f>
        <v>58.192013633045143</v>
      </c>
    </row>
    <row r="22" spans="1:92" x14ac:dyDescent="0.25">
      <c r="A22" s="77" t="s">
        <v>309</v>
      </c>
      <c r="B22" s="88">
        <v>0</v>
      </c>
      <c r="C22" s="88">
        <f>('P&amp;L'!B16+'P&amp;L'!B23+'P&amp;L'!B25)/12</f>
        <v>55.344853333333326</v>
      </c>
      <c r="D22" s="88">
        <f>('P&amp;L'!C16+'P&amp;L'!C23+'P&amp;L'!C25)/12</f>
        <v>62.247370833333342</v>
      </c>
      <c r="E22" s="88">
        <f>('P&amp;L'!D16+'P&amp;L'!D23+'P&amp;L'!D25)/12</f>
        <v>71.680937708333332</v>
      </c>
      <c r="F22" s="88">
        <f>('P&amp;L'!E16+'P&amp;L'!E23+'P&amp;L'!E25)/12</f>
        <v>81.925405260416667</v>
      </c>
      <c r="G22" s="88">
        <f>('P&amp;L'!F16+'P&amp;L'!F23+'P&amp;L'!F25)/12</f>
        <v>93.026489690104185</v>
      </c>
      <c r="H22" s="88">
        <f>('P&amp;L'!G16+'P&amp;L'!G23+'P&amp;L'!G25)/12</f>
        <v>105.05626067460936</v>
      </c>
      <c r="I22" s="88">
        <f>('P&amp;L'!H16+'P&amp;L'!H23+'P&amp;L'!H25)/12</f>
        <v>117.94421995833984</v>
      </c>
      <c r="J22" s="88">
        <f>('P&amp;L'!I16+'P&amp;L'!I23+'P&amp;L'!I25)/12</f>
        <v>123.37663495625684</v>
      </c>
      <c r="K22" s="88">
        <f>('P&amp;L'!J16+'P&amp;L'!J23+'P&amp;L'!J25)/12</f>
        <v>138.26757237073633</v>
      </c>
      <c r="L22" s="88">
        <f>('P&amp;L'!K16+'P&amp;L'!K23+'P&amp;L'!K25)/12</f>
        <v>153.99487348927315</v>
      </c>
    </row>
    <row r="23" spans="1:92" x14ac:dyDescent="0.25">
      <c r="A23" s="77"/>
      <c r="B23" s="77"/>
      <c r="C23" s="88"/>
      <c r="D23" s="88"/>
      <c r="E23" s="88"/>
      <c r="F23" s="88"/>
      <c r="G23" s="88"/>
      <c r="H23" s="77"/>
      <c r="I23" s="77"/>
      <c r="J23" s="77"/>
      <c r="K23" s="77"/>
      <c r="L23" s="77"/>
    </row>
    <row r="24" spans="1:92" x14ac:dyDescent="0.25">
      <c r="A24" s="85" t="s">
        <v>310</v>
      </c>
      <c r="B24" s="89">
        <f>SUM(B19:B22)+B9+B13</f>
        <v>97.1435575</v>
      </c>
      <c r="C24" s="89">
        <f>SUM(C19:C22)+C9+C13</f>
        <v>175.79694280833343</v>
      </c>
      <c r="D24" s="89">
        <f t="shared" ref="D24:L24" si="17">SUM(D19:D22)+D9+D13</f>
        <v>195.40593907833343</v>
      </c>
      <c r="E24" s="89">
        <f t="shared" si="17"/>
        <v>217.96337971942722</v>
      </c>
      <c r="F24" s="89">
        <f t="shared" si="17"/>
        <v>244.57561716537774</v>
      </c>
      <c r="G24" s="89">
        <f t="shared" si="17"/>
        <v>274.84286783409465</v>
      </c>
      <c r="H24" s="89">
        <f t="shared" si="17"/>
        <v>310.71040253467436</v>
      </c>
      <c r="I24" s="89">
        <f t="shared" si="17"/>
        <v>351.25963104073628</v>
      </c>
      <c r="J24" s="89">
        <f t="shared" si="17"/>
        <v>384.76028335097686</v>
      </c>
      <c r="K24" s="89">
        <f t="shared" si="17"/>
        <v>435.48554646840432</v>
      </c>
      <c r="L24" s="89">
        <f t="shared" si="17"/>
        <v>492.83527417143017</v>
      </c>
      <c r="M24" s="93"/>
      <c r="N24" s="93"/>
      <c r="O24" s="93"/>
      <c r="P24" s="93"/>
    </row>
    <row r="25" spans="1:92" x14ac:dyDescent="0.25">
      <c r="A25" s="77"/>
      <c r="B25" s="77"/>
      <c r="C25" s="88"/>
      <c r="D25" s="88"/>
      <c r="E25" s="88"/>
      <c r="F25" s="88"/>
      <c r="G25" s="88"/>
      <c r="H25" s="77"/>
      <c r="I25" s="77"/>
      <c r="J25" s="77"/>
      <c r="K25" s="77"/>
      <c r="L25" s="77"/>
    </row>
    <row r="26" spans="1:92" x14ac:dyDescent="0.25">
      <c r="A26" s="85" t="s">
        <v>311</v>
      </c>
      <c r="B26" s="85"/>
      <c r="C26" s="88"/>
      <c r="D26" s="88"/>
      <c r="E26" s="88"/>
      <c r="F26" s="88"/>
      <c r="G26" s="88"/>
      <c r="H26" s="92"/>
      <c r="I26" s="92"/>
      <c r="J26" s="92"/>
      <c r="K26" s="92"/>
      <c r="L26" s="92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x14ac:dyDescent="0.25">
      <c r="A27" s="34" t="s">
        <v>312</v>
      </c>
      <c r="B27" s="34"/>
      <c r="C27" s="88"/>
      <c r="D27" s="88"/>
      <c r="E27" s="88"/>
      <c r="F27" s="88"/>
      <c r="G27" s="88"/>
      <c r="H27" s="77"/>
      <c r="I27" s="77"/>
      <c r="J27" s="77"/>
      <c r="K27" s="77"/>
      <c r="L27" s="77"/>
    </row>
    <row r="28" spans="1:92" x14ac:dyDescent="0.25">
      <c r="A28" s="87" t="s">
        <v>313</v>
      </c>
      <c r="B28" s="185">
        <f>'Project Glance'!B6+'Project Glance'!B7+'Project Glance'!B8+'Project Glance'!B9+'Project Glance'!B11</f>
        <v>87</v>
      </c>
      <c r="C28" s="88">
        <f>Depn!C19</f>
        <v>87</v>
      </c>
      <c r="D28" s="88">
        <f>Depn!D19</f>
        <v>83.763359999999992</v>
      </c>
      <c r="E28" s="88">
        <f>Depn!E19</f>
        <v>80.526719999999983</v>
      </c>
      <c r="F28" s="88">
        <f>Depn!F19</f>
        <v>77.290079999999975</v>
      </c>
      <c r="G28" s="88">
        <f>Depn!G19</f>
        <v>74.053439999999981</v>
      </c>
      <c r="H28" s="88">
        <f>Depn!H19</f>
        <v>70.816799999999972</v>
      </c>
      <c r="I28" s="88">
        <f>Depn!I19</f>
        <v>67.580159999999978</v>
      </c>
      <c r="J28" s="88">
        <f>Depn!J19</f>
        <v>64.343519999999984</v>
      </c>
      <c r="K28" s="88">
        <f>Depn!K19</f>
        <v>61.106879999999975</v>
      </c>
      <c r="L28" s="88">
        <f>Depn!L19</f>
        <v>57.870239999999981</v>
      </c>
    </row>
    <row r="29" spans="1:92" x14ac:dyDescent="0.25">
      <c r="A29" s="76" t="s">
        <v>457</v>
      </c>
      <c r="B29" s="186">
        <v>0</v>
      </c>
      <c r="C29" s="88">
        <f>Depn!C20</f>
        <v>3.2366399999999995</v>
      </c>
      <c r="D29" s="88">
        <f>Depn!D20</f>
        <v>3.2366399999999995</v>
      </c>
      <c r="E29" s="88">
        <f>Depn!E20</f>
        <v>3.2366399999999995</v>
      </c>
      <c r="F29" s="88">
        <f>Depn!F20</f>
        <v>3.2366399999999995</v>
      </c>
      <c r="G29" s="88">
        <f>Depn!G20</f>
        <v>3.2366399999999995</v>
      </c>
      <c r="H29" s="88">
        <f>Depn!H20</f>
        <v>3.2366399999999995</v>
      </c>
      <c r="I29" s="88">
        <f>Depn!I20</f>
        <v>3.2366399999999995</v>
      </c>
      <c r="J29" s="88">
        <f>Depn!J20</f>
        <v>3.2366399999999995</v>
      </c>
      <c r="K29" s="88">
        <f>Depn!K20</f>
        <v>3.2366399999999995</v>
      </c>
      <c r="L29" s="88">
        <f>Depn!L20</f>
        <v>3.2366399999999995</v>
      </c>
    </row>
    <row r="30" spans="1:92" x14ac:dyDescent="0.25">
      <c r="A30" s="87" t="s">
        <v>314</v>
      </c>
      <c r="B30" s="186">
        <f>B28-B29</f>
        <v>87</v>
      </c>
      <c r="C30" s="88">
        <f>Depn!C21</f>
        <v>83.763359999999992</v>
      </c>
      <c r="D30" s="88">
        <f>Depn!D21</f>
        <v>80.526719999999983</v>
      </c>
      <c r="E30" s="88">
        <f>Depn!E21</f>
        <v>77.290079999999975</v>
      </c>
      <c r="F30" s="88">
        <f>Depn!F21</f>
        <v>74.053439999999981</v>
      </c>
      <c r="G30" s="88">
        <f>Depn!G21</f>
        <v>70.816799999999972</v>
      </c>
      <c r="H30" s="88">
        <f>Depn!H21</f>
        <v>67.580159999999978</v>
      </c>
      <c r="I30" s="88">
        <f>Depn!I21</f>
        <v>64.343519999999984</v>
      </c>
      <c r="J30" s="88">
        <f>Depn!J21</f>
        <v>61.106879999999975</v>
      </c>
      <c r="K30" s="88">
        <f>Depn!K21</f>
        <v>57.870239999999981</v>
      </c>
      <c r="L30" s="88">
        <f>Depn!L21</f>
        <v>54.63359999999998</v>
      </c>
    </row>
    <row r="31" spans="1:92" x14ac:dyDescent="0.25">
      <c r="A31" s="87"/>
      <c r="B31" s="87"/>
      <c r="C31" s="88"/>
      <c r="D31" s="88"/>
      <c r="E31" s="88"/>
      <c r="F31" s="88"/>
      <c r="G31" s="88"/>
      <c r="H31" s="77"/>
      <c r="I31" s="95"/>
      <c r="J31" s="95"/>
      <c r="K31" s="95"/>
      <c r="L31" s="95"/>
      <c r="M31" s="93"/>
      <c r="N31" s="93"/>
      <c r="O31" s="93"/>
      <c r="P31" s="93"/>
      <c r="Q31" s="93"/>
      <c r="R31" s="93"/>
    </row>
    <row r="32" spans="1:92" x14ac:dyDescent="0.25">
      <c r="A32" s="87" t="s">
        <v>315</v>
      </c>
      <c r="B32" s="185">
        <f>'Project Glance'!B10</f>
        <v>4.3499999999999996</v>
      </c>
      <c r="C32" s="88">
        <f>B32-'P&amp;L'!B27</f>
        <v>3.9149999999999996</v>
      </c>
      <c r="D32" s="88">
        <f>C32-'P&amp;L'!C27</f>
        <v>3.4799999999999995</v>
      </c>
      <c r="E32" s="88">
        <f>D32-'P&amp;L'!D27</f>
        <v>3.0449999999999995</v>
      </c>
      <c r="F32" s="88">
        <f>E32-'P&amp;L'!E27</f>
        <v>2.6099999999999994</v>
      </c>
      <c r="G32" s="88">
        <f>F32-'P&amp;L'!F27</f>
        <v>2.1749999999999994</v>
      </c>
      <c r="H32" s="88">
        <f>G32-'P&amp;L'!G27</f>
        <v>1.7399999999999993</v>
      </c>
      <c r="I32" s="88">
        <f>H32-'P&amp;L'!H27</f>
        <v>1.3049999999999993</v>
      </c>
      <c r="J32" s="88">
        <f>I32-'P&amp;L'!I27</f>
        <v>0.86999999999999933</v>
      </c>
      <c r="K32" s="88">
        <f>J32-'P&amp;L'!J27</f>
        <v>0.43499999999999939</v>
      </c>
      <c r="L32" s="88">
        <f>K32-'P&amp;L'!K27</f>
        <v>-5.5511151231257827E-16</v>
      </c>
    </row>
    <row r="33" spans="1:12" x14ac:dyDescent="0.25">
      <c r="A33" s="87" t="s">
        <v>21</v>
      </c>
      <c r="B33" s="185">
        <f>'Project Glance'!B12</f>
        <v>0</v>
      </c>
      <c r="C33" s="88">
        <f>'Project Glance'!B12</f>
        <v>0</v>
      </c>
      <c r="D33" s="88">
        <f>C33</f>
        <v>0</v>
      </c>
      <c r="E33" s="88">
        <f t="shared" ref="E33:I33" si="18">D33</f>
        <v>0</v>
      </c>
      <c r="F33" s="88">
        <f t="shared" si="18"/>
        <v>0</v>
      </c>
      <c r="G33" s="88">
        <f t="shared" si="18"/>
        <v>0</v>
      </c>
      <c r="H33" s="88">
        <f t="shared" si="18"/>
        <v>0</v>
      </c>
      <c r="I33" s="88">
        <f t="shared" si="18"/>
        <v>0</v>
      </c>
      <c r="J33" s="88">
        <f t="shared" ref="J33" si="19">I33</f>
        <v>0</v>
      </c>
      <c r="K33" s="88">
        <f t="shared" ref="K33" si="20">J33</f>
        <v>0</v>
      </c>
      <c r="L33" s="88">
        <f t="shared" ref="L33" si="21">K33</f>
        <v>0</v>
      </c>
    </row>
    <row r="34" spans="1:12" x14ac:dyDescent="0.25">
      <c r="A34" s="87"/>
      <c r="B34" s="87"/>
      <c r="C34" s="88"/>
      <c r="D34" s="88"/>
      <c r="E34" s="88"/>
      <c r="F34" s="88"/>
      <c r="G34" s="88"/>
      <c r="H34" s="77"/>
      <c r="I34" s="77"/>
      <c r="J34" s="77"/>
      <c r="K34" s="77"/>
      <c r="L34" s="77"/>
    </row>
    <row r="35" spans="1:12" x14ac:dyDescent="0.25">
      <c r="A35" s="34" t="s">
        <v>316</v>
      </c>
      <c r="B35" s="34"/>
      <c r="C35" s="88"/>
      <c r="D35" s="88"/>
      <c r="E35" s="88"/>
      <c r="F35" s="88"/>
      <c r="G35" s="88"/>
      <c r="H35" s="77"/>
      <c r="I35" s="77"/>
      <c r="J35" s="77"/>
      <c r="K35" s="77"/>
      <c r="L35" s="77"/>
    </row>
    <row r="36" spans="1:12" x14ac:dyDescent="0.25">
      <c r="A36" s="77" t="s">
        <v>317</v>
      </c>
      <c r="B36" s="88">
        <v>0</v>
      </c>
      <c r="C36" s="88">
        <f>'P&amp;L'!B9/24</f>
        <v>25.947083333333335</v>
      </c>
      <c r="D36" s="88">
        <f>'P&amp;L'!C9/24</f>
        <v>31.353687500000003</v>
      </c>
      <c r="E36" s="88">
        <f>'P&amp;L'!D9/24</f>
        <v>36.188054166666667</v>
      </c>
      <c r="F36" s="88">
        <f>'P&amp;L'!E9/24</f>
        <v>41.446604166666667</v>
      </c>
      <c r="G36" s="88">
        <f>'P&amp;L'!F9/24</f>
        <v>47.172945833333337</v>
      </c>
      <c r="H36" s="88">
        <f>'P&amp;L'!G9/24</f>
        <v>53.388350000000003</v>
      </c>
      <c r="I36" s="88">
        <f>'P&amp;L'!H9/24</f>
        <v>60.071612500000008</v>
      </c>
      <c r="J36" s="88">
        <f>'P&amp;L'!I9/24</f>
        <v>63.259224999999994</v>
      </c>
      <c r="K36" s="88">
        <f>'P&amp;L'!J9/24</f>
        <v>70.658229166666672</v>
      </c>
      <c r="L36" s="88">
        <f>'P&amp;L'!K9/24</f>
        <v>78.880125000000007</v>
      </c>
    </row>
    <row r="37" spans="1:12" x14ac:dyDescent="0.25">
      <c r="A37" s="77"/>
      <c r="B37" s="88"/>
      <c r="C37" s="92"/>
      <c r="D37" s="92"/>
      <c r="E37" s="92"/>
      <c r="F37" s="92"/>
      <c r="G37" s="92"/>
      <c r="H37" s="77"/>
      <c r="I37" s="77"/>
      <c r="J37" s="77"/>
      <c r="K37" s="77"/>
      <c r="L37" s="77"/>
    </row>
    <row r="38" spans="1:12" x14ac:dyDescent="0.25">
      <c r="A38" s="77"/>
      <c r="B38" s="88"/>
      <c r="C38" s="88"/>
      <c r="D38" s="88"/>
      <c r="E38" s="88"/>
      <c r="F38" s="88"/>
      <c r="G38" s="88"/>
      <c r="H38" s="88"/>
      <c r="I38" s="88"/>
      <c r="J38" s="77"/>
      <c r="K38" s="77"/>
      <c r="L38" s="77"/>
    </row>
    <row r="39" spans="1:12" x14ac:dyDescent="0.25">
      <c r="A39" s="78" t="s">
        <v>83</v>
      </c>
      <c r="B39" s="184"/>
      <c r="C39" s="88"/>
      <c r="D39" s="88"/>
      <c r="E39" s="88"/>
      <c r="F39" s="88"/>
      <c r="G39" s="88"/>
      <c r="H39" s="77"/>
      <c r="I39" s="77"/>
      <c r="J39" s="77"/>
      <c r="K39" s="77"/>
      <c r="L39" s="77"/>
    </row>
    <row r="40" spans="1:12" x14ac:dyDescent="0.25">
      <c r="A40" s="77" t="s">
        <v>318</v>
      </c>
      <c r="B40" s="88">
        <v>0</v>
      </c>
      <c r="C40" s="88">
        <f>'CS-FG'!C52</f>
        <v>27.26</v>
      </c>
      <c r="D40" s="88">
        <f>'CS-FG'!D52</f>
        <v>30.985499999999998</v>
      </c>
      <c r="E40" s="88">
        <f>'CS-FG'!E52</f>
        <v>35.845500000000001</v>
      </c>
      <c r="F40" s="88">
        <f>'CS-FG'!F52</f>
        <v>41.541700000000006</v>
      </c>
      <c r="G40" s="88">
        <f>'CS-FG'!G52</f>
        <v>47.2624</v>
      </c>
      <c r="H40" s="88">
        <f>'CS-FG'!H52</f>
        <v>53.455499999999994</v>
      </c>
      <c r="I40" s="88">
        <f>'CS-FG'!I52</f>
        <v>60.148200000000003</v>
      </c>
      <c r="J40" s="88">
        <f>'CS-FG'!J52</f>
        <v>63.155200000000008</v>
      </c>
      <c r="K40" s="88">
        <f>'CS-FG'!K52</f>
        <v>70.954399999999993</v>
      </c>
      <c r="L40" s="88">
        <f>'CS-FG'!L52</f>
        <v>78.376900000000006</v>
      </c>
    </row>
    <row r="41" spans="1:12" x14ac:dyDescent="0.25">
      <c r="A41" s="77" t="s">
        <v>319</v>
      </c>
      <c r="B41" s="88">
        <v>0</v>
      </c>
      <c r="C41" s="88">
        <f>'CS-RM'!B16</f>
        <v>25.312000000000001</v>
      </c>
      <c r="D41" s="88">
        <f>'CS-RM'!C16</f>
        <v>29.899799999999999</v>
      </c>
      <c r="E41" s="88">
        <f>'CS-RM'!D16</f>
        <v>34.3827</v>
      </c>
      <c r="F41" s="88">
        <f>'CS-RM'!E16</f>
        <v>39.24</v>
      </c>
      <c r="G41" s="88">
        <f>'CS-RM'!F16</f>
        <v>44.501399999999997</v>
      </c>
      <c r="H41" s="88">
        <f>'CS-RM'!G16</f>
        <v>50.767200000000003</v>
      </c>
      <c r="I41" s="88">
        <f>'CS-RM'!H16</f>
        <v>56.9358</v>
      </c>
      <c r="J41" s="88">
        <f>'CS-RM'!I16</f>
        <v>59.783999999999999</v>
      </c>
      <c r="K41" s="88">
        <f>'CS-RM'!J16</f>
        <v>66.78</v>
      </c>
      <c r="L41" s="88">
        <f>'CS-RM'!K16</f>
        <v>74.327200000000005</v>
      </c>
    </row>
    <row r="42" spans="1:12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  <row r="43" spans="1:12" x14ac:dyDescent="0.25">
      <c r="A43" s="77"/>
      <c r="B43" s="77"/>
      <c r="C43" s="88">
        <f>SUM(C40:C41)</f>
        <v>52.572000000000003</v>
      </c>
      <c r="D43" s="88">
        <f>SUM(D40:D41)</f>
        <v>60.885300000000001</v>
      </c>
      <c r="E43" s="88">
        <f>SUM(E40:E41)</f>
        <v>70.228200000000001</v>
      </c>
      <c r="F43" s="88">
        <f>SUM(F40:F41)</f>
        <v>80.781700000000001</v>
      </c>
      <c r="G43" s="88">
        <f>SUM(G40:G41)</f>
        <v>91.763800000000003</v>
      </c>
      <c r="H43" s="88">
        <f t="shared" ref="H43:L43" si="22">SUM(H40:H41)</f>
        <v>104.2227</v>
      </c>
      <c r="I43" s="88">
        <f t="shared" si="22"/>
        <v>117.084</v>
      </c>
      <c r="J43" s="88">
        <f t="shared" si="22"/>
        <v>122.9392</v>
      </c>
      <c r="K43" s="88">
        <f t="shared" si="22"/>
        <v>137.73439999999999</v>
      </c>
      <c r="L43" s="88">
        <f t="shared" si="22"/>
        <v>152.70410000000001</v>
      </c>
    </row>
    <row r="44" spans="1:12" hidden="1" x14ac:dyDescent="0.25">
      <c r="A44" s="77"/>
      <c r="B44" s="77"/>
      <c r="C44" s="88"/>
      <c r="D44" s="88"/>
      <c r="E44" s="88"/>
      <c r="F44" s="88"/>
      <c r="G44" s="88"/>
      <c r="H44" s="88"/>
      <c r="I44" s="88"/>
      <c r="J44" s="77"/>
      <c r="K44" s="77"/>
      <c r="L44" s="77"/>
    </row>
    <row r="45" spans="1:12" hidden="1" x14ac:dyDescent="0.25">
      <c r="A45" s="77" t="s">
        <v>464</v>
      </c>
      <c r="B45" s="77"/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77"/>
      <c r="K45" s="77"/>
      <c r="L45" s="77"/>
    </row>
    <row r="46" spans="1:12" x14ac:dyDescent="0.25">
      <c r="A46" s="77"/>
      <c r="B46" s="77"/>
      <c r="C46" s="88"/>
      <c r="D46" s="88"/>
      <c r="E46" s="88"/>
      <c r="F46" s="88"/>
      <c r="G46" s="88"/>
      <c r="H46" s="88"/>
      <c r="I46" s="88"/>
      <c r="J46" s="77"/>
      <c r="K46" s="77"/>
      <c r="L46" s="77"/>
    </row>
    <row r="47" spans="1:12" x14ac:dyDescent="0.25">
      <c r="A47" s="77" t="s">
        <v>320</v>
      </c>
      <c r="B47" s="88">
        <f>CF!C35</f>
        <v>5.7935575000000057</v>
      </c>
      <c r="C47" s="88">
        <f>CF!D35</f>
        <v>9.5994994750000018</v>
      </c>
      <c r="D47" s="88">
        <f>CF!E35</f>
        <v>19.160231578333295</v>
      </c>
      <c r="E47" s="88">
        <f>CF!F35</f>
        <v>31.212045552760387</v>
      </c>
      <c r="F47" s="88">
        <f>CF!G35</f>
        <v>45.683872998710953</v>
      </c>
      <c r="G47" s="88">
        <f>CF!H35</f>
        <v>62.914322000760862</v>
      </c>
      <c r="H47" s="88">
        <f>CF!I35</f>
        <v>83.779192534673925</v>
      </c>
      <c r="I47" s="88">
        <f>CF!J35</f>
        <v>108.45549854073577</v>
      </c>
      <c r="J47" s="88">
        <f>CF!K35</f>
        <v>136.5849783509766</v>
      </c>
      <c r="K47" s="88">
        <f>CF!L35</f>
        <v>168.78767730173763</v>
      </c>
      <c r="L47" s="88">
        <f>CF!M35</f>
        <v>206.61744917143028</v>
      </c>
    </row>
    <row r="48" spans="1:12" x14ac:dyDescent="0.25">
      <c r="A48" s="77" t="s">
        <v>321</v>
      </c>
      <c r="B48" s="77"/>
      <c r="C48" s="88"/>
      <c r="D48" s="88"/>
      <c r="E48" s="88"/>
      <c r="F48" s="88"/>
      <c r="G48" s="88"/>
      <c r="H48" s="77"/>
      <c r="I48" s="77"/>
      <c r="J48" s="77"/>
      <c r="K48" s="77"/>
      <c r="L48" s="77"/>
    </row>
    <row r="49" spans="1:12" x14ac:dyDescent="0.25">
      <c r="A49" s="77"/>
      <c r="B49" s="77"/>
      <c r="C49" s="88"/>
      <c r="D49" s="88"/>
      <c r="E49" s="88"/>
      <c r="F49" s="88"/>
      <c r="G49" s="88"/>
      <c r="H49" s="77"/>
      <c r="I49" s="77"/>
      <c r="J49" s="77"/>
      <c r="K49" s="77"/>
      <c r="L49" s="77"/>
    </row>
    <row r="50" spans="1:12" x14ac:dyDescent="0.25">
      <c r="A50" s="34" t="s">
        <v>322</v>
      </c>
      <c r="B50" s="89">
        <f>SUM(B30:B47)</f>
        <v>97.1435575</v>
      </c>
      <c r="C50" s="89">
        <f>SUM(C30:C41)+C47</f>
        <v>175.79694280833337</v>
      </c>
      <c r="D50" s="89">
        <f t="shared" ref="D50:L50" si="23">SUM(D30:D41)+D47</f>
        <v>195.40593907833329</v>
      </c>
      <c r="E50" s="89">
        <f t="shared" si="23"/>
        <v>217.96337971942705</v>
      </c>
      <c r="F50" s="89">
        <f t="shared" si="23"/>
        <v>244.57561716537765</v>
      </c>
      <c r="G50" s="89">
        <f t="shared" si="23"/>
        <v>274.84286783409419</v>
      </c>
      <c r="H50" s="89">
        <f t="shared" si="23"/>
        <v>310.7104025346739</v>
      </c>
      <c r="I50" s="89">
        <f t="shared" si="23"/>
        <v>351.25963104073577</v>
      </c>
      <c r="J50" s="89">
        <f t="shared" si="23"/>
        <v>384.76028335097658</v>
      </c>
      <c r="K50" s="89">
        <f t="shared" si="23"/>
        <v>435.48554646840427</v>
      </c>
      <c r="L50" s="89">
        <f t="shared" si="23"/>
        <v>492.83527417143029</v>
      </c>
    </row>
    <row r="51" spans="1:12" x14ac:dyDescent="0.25">
      <c r="A51" s="86"/>
      <c r="B51" s="86"/>
      <c r="C51" s="96"/>
      <c r="D51" s="96"/>
      <c r="E51" s="96"/>
      <c r="F51" s="96"/>
      <c r="G51" s="96"/>
    </row>
    <row r="52" spans="1:12" x14ac:dyDescent="0.25">
      <c r="A52" s="97"/>
      <c r="B52" s="98">
        <f t="shared" ref="B52:G52" si="24">B50-B24</f>
        <v>0</v>
      </c>
      <c r="C52" s="98">
        <f t="shared" si="24"/>
        <v>0</v>
      </c>
      <c r="D52" s="98">
        <f t="shared" si="24"/>
        <v>0</v>
      </c>
      <c r="E52" s="98">
        <f t="shared" si="24"/>
        <v>0</v>
      </c>
      <c r="F52" s="98">
        <f t="shared" si="24"/>
        <v>0</v>
      </c>
      <c r="G52" s="98">
        <f t="shared" si="24"/>
        <v>-4.5474735088646412E-13</v>
      </c>
      <c r="H52" s="98">
        <f t="shared" ref="H52:L52" si="25">H50-H24</f>
        <v>-4.5474735088646412E-13</v>
      </c>
      <c r="I52" s="98">
        <f t="shared" si="25"/>
        <v>-5.1159076974727213E-13</v>
      </c>
      <c r="J52" s="98">
        <f t="shared" si="25"/>
        <v>0</v>
      </c>
      <c r="K52" s="98">
        <f t="shared" si="25"/>
        <v>0</v>
      </c>
      <c r="L52" s="98">
        <f t="shared" si="25"/>
        <v>0</v>
      </c>
    </row>
    <row r="53" spans="1:12" x14ac:dyDescent="0.25">
      <c r="C53" s="99"/>
      <c r="D53" s="99"/>
      <c r="E53" s="99"/>
      <c r="F53" s="99"/>
      <c r="G53" s="99"/>
    </row>
    <row r="54" spans="1:12" x14ac:dyDescent="0.25">
      <c r="C54" s="99"/>
      <c r="D54" s="99"/>
      <c r="E54" s="99"/>
      <c r="F54" s="99"/>
      <c r="G54" s="99"/>
    </row>
    <row r="56" spans="1:12" x14ac:dyDescent="0.25">
      <c r="C56" s="99"/>
      <c r="D56" s="99"/>
      <c r="E56" s="99"/>
      <c r="F56" s="99"/>
      <c r="G56" s="99"/>
    </row>
    <row r="57" spans="1:12" x14ac:dyDescent="0.25">
      <c r="C57" s="99"/>
      <c r="D57" s="99"/>
      <c r="E57" s="99"/>
      <c r="F57" s="99"/>
      <c r="G57" s="99"/>
    </row>
    <row r="58" spans="1:12" x14ac:dyDescent="0.25">
      <c r="C58" s="99"/>
      <c r="D58" s="99"/>
      <c r="E58" s="99"/>
      <c r="F58" s="99"/>
      <c r="G58" s="99"/>
    </row>
    <row r="59" spans="1:12" x14ac:dyDescent="0.25">
      <c r="C59" s="99"/>
      <c r="D59" s="99"/>
      <c r="E59" s="99"/>
      <c r="F59" s="99"/>
      <c r="G59" s="99"/>
    </row>
    <row r="60" spans="1:12" x14ac:dyDescent="0.25">
      <c r="A60" s="99"/>
      <c r="B60" s="99"/>
      <c r="D60" s="99"/>
      <c r="F60" s="99"/>
      <c r="G60" s="99"/>
    </row>
    <row r="61" spans="1:12" x14ac:dyDescent="0.25">
      <c r="A61" s="99"/>
      <c r="B61" s="99"/>
      <c r="D61" s="99"/>
      <c r="F61" s="99"/>
      <c r="G61" s="99"/>
    </row>
    <row r="62" spans="1:12" x14ac:dyDescent="0.25">
      <c r="A62" s="99"/>
      <c r="B62" s="99"/>
      <c r="D62" s="99"/>
      <c r="F62" s="99"/>
      <c r="G62" s="99"/>
    </row>
    <row r="63" spans="1:12" x14ac:dyDescent="0.25">
      <c r="A63" s="99"/>
      <c r="B63" s="99"/>
      <c r="D63" s="99"/>
      <c r="F63" s="99"/>
      <c r="G63" s="99"/>
    </row>
    <row r="64" spans="1:12" x14ac:dyDescent="0.25">
      <c r="D64" s="99"/>
      <c r="F64" s="99"/>
    </row>
    <row r="65" spans="3:7" x14ac:dyDescent="0.25">
      <c r="D65" s="99"/>
      <c r="F65" s="99"/>
    </row>
    <row r="66" spans="3:7" x14ac:dyDescent="0.25">
      <c r="D66" s="99"/>
      <c r="F66" s="99"/>
      <c r="G66" s="99"/>
    </row>
    <row r="67" spans="3:7" x14ac:dyDescent="0.25">
      <c r="D67" s="99"/>
      <c r="F67" s="99"/>
      <c r="G67" s="99"/>
    </row>
    <row r="68" spans="3:7" x14ac:dyDescent="0.25">
      <c r="D68" s="99"/>
      <c r="F68" s="99"/>
      <c r="G68" s="99"/>
    </row>
    <row r="69" spans="3:7" x14ac:dyDescent="0.25">
      <c r="D69" s="99"/>
      <c r="F69" s="99"/>
      <c r="G69" s="99"/>
    </row>
    <row r="70" spans="3:7" x14ac:dyDescent="0.25">
      <c r="D70" s="99"/>
      <c r="F70" s="99"/>
      <c r="G70" s="99"/>
    </row>
    <row r="71" spans="3:7" x14ac:dyDescent="0.25">
      <c r="D71" s="99"/>
      <c r="F71" s="99"/>
      <c r="G71" s="99"/>
    </row>
    <row r="72" spans="3:7" x14ac:dyDescent="0.25">
      <c r="D72" s="99"/>
      <c r="F72" s="99"/>
      <c r="G72" s="99"/>
    </row>
    <row r="73" spans="3:7" x14ac:dyDescent="0.25">
      <c r="D73" s="99"/>
      <c r="F73" s="99"/>
      <c r="G73" s="99"/>
    </row>
    <row r="74" spans="3:7" x14ac:dyDescent="0.25">
      <c r="C74" s="99"/>
      <c r="D74" s="99"/>
      <c r="E74" s="99"/>
      <c r="F74" s="99"/>
      <c r="G74" s="99"/>
    </row>
    <row r="75" spans="3:7" x14ac:dyDescent="0.25">
      <c r="C75" s="99"/>
      <c r="D75" s="99"/>
      <c r="E75" s="99"/>
      <c r="F75" s="99"/>
      <c r="G75" s="99"/>
    </row>
    <row r="76" spans="3:7" x14ac:dyDescent="0.25">
      <c r="C76" s="99"/>
      <c r="D76" s="99"/>
      <c r="E76" s="99"/>
      <c r="F76" s="99"/>
      <c r="G76" s="99"/>
    </row>
    <row r="77" spans="3:7" x14ac:dyDescent="0.25">
      <c r="C77" s="99"/>
      <c r="D77" s="99"/>
      <c r="E77" s="99"/>
      <c r="F77" s="99"/>
      <c r="G77" s="99"/>
    </row>
    <row r="78" spans="3:7" x14ac:dyDescent="0.25">
      <c r="C78" s="99"/>
      <c r="D78" s="99"/>
      <c r="E78" s="99"/>
      <c r="F78" s="99"/>
      <c r="G78" s="99"/>
    </row>
    <row r="79" spans="3:7" x14ac:dyDescent="0.25">
      <c r="C79" s="99"/>
      <c r="D79" s="99"/>
      <c r="E79" s="99"/>
      <c r="F79" s="99"/>
      <c r="G79" s="99"/>
    </row>
    <row r="80" spans="3:7" x14ac:dyDescent="0.25">
      <c r="C80" s="99"/>
      <c r="D80" s="99"/>
      <c r="E80" s="99"/>
      <c r="F80" s="99"/>
      <c r="G80" s="99"/>
    </row>
    <row r="81" spans="3:7" x14ac:dyDescent="0.25">
      <c r="C81" s="99"/>
      <c r="D81" s="99"/>
      <c r="E81" s="99"/>
      <c r="F81" s="99"/>
      <c r="G81" s="99"/>
    </row>
    <row r="82" spans="3:7" x14ac:dyDescent="0.25">
      <c r="C82" s="99"/>
      <c r="D82" s="99"/>
      <c r="E82" s="99"/>
      <c r="F82" s="99"/>
      <c r="G82" s="99"/>
    </row>
    <row r="83" spans="3:7" x14ac:dyDescent="0.25">
      <c r="C83" s="99"/>
      <c r="D83" s="99"/>
      <c r="E83" s="99"/>
      <c r="F83" s="99"/>
      <c r="G83" s="99"/>
    </row>
    <row r="84" spans="3:7" x14ac:dyDescent="0.25">
      <c r="C84" s="99"/>
      <c r="D84" s="99"/>
      <c r="E84" s="99"/>
      <c r="F84" s="99"/>
      <c r="G84" s="99"/>
    </row>
    <row r="85" spans="3:7" x14ac:dyDescent="0.25">
      <c r="C85" s="99"/>
      <c r="D85" s="99"/>
      <c r="E85" s="99"/>
      <c r="F85" s="99"/>
      <c r="G85" s="99"/>
    </row>
    <row r="86" spans="3:7" x14ac:dyDescent="0.25">
      <c r="C86" s="99"/>
      <c r="D86" s="99"/>
      <c r="E86" s="99"/>
      <c r="F86" s="99"/>
      <c r="G86" s="99"/>
    </row>
    <row r="87" spans="3:7" x14ac:dyDescent="0.25">
      <c r="C87" s="99"/>
      <c r="D87" s="99"/>
      <c r="E87" s="99"/>
      <c r="F87" s="99"/>
      <c r="G87" s="99"/>
    </row>
    <row r="88" spans="3:7" x14ac:dyDescent="0.25">
      <c r="C88" s="99"/>
      <c r="D88" s="99"/>
      <c r="E88" s="99"/>
      <c r="F88" s="99"/>
      <c r="G88" s="99"/>
    </row>
    <row r="89" spans="3:7" x14ac:dyDescent="0.25">
      <c r="C89" s="99"/>
      <c r="D89" s="99"/>
      <c r="E89" s="99"/>
      <c r="F89" s="99"/>
      <c r="G89" s="99"/>
    </row>
    <row r="90" spans="3:7" x14ac:dyDescent="0.25">
      <c r="C90" s="99"/>
      <c r="D90" s="99"/>
      <c r="E90" s="99"/>
      <c r="F90" s="99"/>
      <c r="G90" s="99"/>
    </row>
    <row r="91" spans="3:7" x14ac:dyDescent="0.25">
      <c r="C91" s="99"/>
      <c r="D91" s="99"/>
      <c r="E91" s="99"/>
      <c r="F91" s="99"/>
      <c r="G91" s="99"/>
    </row>
    <row r="92" spans="3:7" x14ac:dyDescent="0.25">
      <c r="C92" s="99"/>
      <c r="D92" s="99"/>
      <c r="E92" s="99"/>
      <c r="F92" s="99"/>
      <c r="G92" s="99"/>
    </row>
    <row r="93" spans="3:7" x14ac:dyDescent="0.25">
      <c r="C93" s="99"/>
      <c r="D93" s="99"/>
      <c r="E93" s="99"/>
      <c r="F93" s="99"/>
      <c r="G93" s="99"/>
    </row>
    <row r="94" spans="3:7" x14ac:dyDescent="0.25">
      <c r="C94" s="99"/>
      <c r="D94" s="99"/>
      <c r="E94" s="99"/>
      <c r="F94" s="99"/>
      <c r="G94" s="99"/>
    </row>
    <row r="95" spans="3:7" x14ac:dyDescent="0.25">
      <c r="C95" s="99"/>
      <c r="D95" s="99"/>
      <c r="E95" s="99"/>
      <c r="F95" s="99"/>
      <c r="G95" s="99"/>
    </row>
    <row r="96" spans="3:7" x14ac:dyDescent="0.25">
      <c r="C96" s="99"/>
      <c r="D96" s="99"/>
      <c r="E96" s="99"/>
      <c r="F96" s="99"/>
      <c r="G96" s="99"/>
    </row>
    <row r="97" spans="3:7" x14ac:dyDescent="0.25">
      <c r="C97" s="99"/>
      <c r="D97" s="99"/>
      <c r="E97" s="99"/>
      <c r="F97" s="99"/>
      <c r="G97" s="99"/>
    </row>
    <row r="98" spans="3:7" x14ac:dyDescent="0.25">
      <c r="C98" s="99"/>
      <c r="D98" s="99"/>
      <c r="E98" s="99"/>
      <c r="F98" s="99"/>
      <c r="G98" s="99"/>
    </row>
    <row r="99" spans="3:7" x14ac:dyDescent="0.25">
      <c r="C99" s="99"/>
      <c r="D99" s="99"/>
      <c r="E99" s="99"/>
      <c r="F99" s="99"/>
      <c r="G99" s="99"/>
    </row>
    <row r="100" spans="3:7" x14ac:dyDescent="0.25">
      <c r="C100" s="99"/>
      <c r="D100" s="99"/>
      <c r="E100" s="99"/>
      <c r="F100" s="99"/>
      <c r="G100" s="99"/>
    </row>
    <row r="101" spans="3:7" x14ac:dyDescent="0.25">
      <c r="C101" s="99"/>
      <c r="D101" s="99"/>
      <c r="E101" s="99"/>
      <c r="F101" s="99"/>
      <c r="G101" s="99"/>
    </row>
    <row r="102" spans="3:7" x14ac:dyDescent="0.25">
      <c r="C102" s="99"/>
      <c r="D102" s="99"/>
      <c r="E102" s="99"/>
      <c r="F102" s="99"/>
      <c r="G102" s="99"/>
    </row>
    <row r="103" spans="3:7" x14ac:dyDescent="0.25">
      <c r="C103" s="99"/>
      <c r="D103" s="99"/>
      <c r="E103" s="99"/>
      <c r="F103" s="99"/>
      <c r="G103" s="99"/>
    </row>
    <row r="104" spans="3:7" x14ac:dyDescent="0.25">
      <c r="C104" s="99"/>
      <c r="D104" s="99"/>
      <c r="E104" s="99"/>
      <c r="F104" s="99"/>
      <c r="G104" s="99"/>
    </row>
    <row r="105" spans="3:7" x14ac:dyDescent="0.25">
      <c r="C105" s="99"/>
      <c r="D105" s="99"/>
      <c r="E105" s="99"/>
      <c r="F105" s="99"/>
      <c r="G105" s="99"/>
    </row>
    <row r="106" spans="3:7" x14ac:dyDescent="0.25">
      <c r="C106" s="99"/>
      <c r="D106" s="99"/>
      <c r="E106" s="99"/>
      <c r="F106" s="99"/>
      <c r="G106" s="99"/>
    </row>
    <row r="107" spans="3:7" x14ac:dyDescent="0.25">
      <c r="C107" s="99"/>
      <c r="D107" s="99"/>
      <c r="E107" s="99"/>
      <c r="F107" s="99"/>
      <c r="G107" s="99"/>
    </row>
    <row r="108" spans="3:7" x14ac:dyDescent="0.25">
      <c r="C108" s="99"/>
      <c r="D108" s="99"/>
      <c r="E108" s="99"/>
      <c r="F108" s="99"/>
      <c r="G108" s="99"/>
    </row>
    <row r="109" spans="3:7" x14ac:dyDescent="0.25">
      <c r="C109" s="99"/>
      <c r="D109" s="99"/>
      <c r="E109" s="99"/>
      <c r="F109" s="99"/>
      <c r="G109" s="99"/>
    </row>
    <row r="110" spans="3:7" x14ac:dyDescent="0.25">
      <c r="C110" s="99"/>
      <c r="D110" s="99"/>
      <c r="E110" s="99"/>
      <c r="F110" s="99"/>
      <c r="G110" s="99"/>
    </row>
    <row r="111" spans="3:7" x14ac:dyDescent="0.25">
      <c r="C111" s="99"/>
      <c r="D111" s="99"/>
      <c r="E111" s="99"/>
      <c r="F111" s="99"/>
      <c r="G111" s="99"/>
    </row>
    <row r="112" spans="3:7" x14ac:dyDescent="0.25">
      <c r="C112" s="99"/>
      <c r="D112" s="99"/>
      <c r="E112" s="99"/>
      <c r="F112" s="99"/>
      <c r="G112" s="99"/>
    </row>
    <row r="113" spans="3:7" x14ac:dyDescent="0.25">
      <c r="C113" s="99"/>
      <c r="D113" s="99"/>
      <c r="E113" s="99"/>
      <c r="F113" s="99"/>
      <c r="G113" s="99"/>
    </row>
    <row r="114" spans="3:7" x14ac:dyDescent="0.25">
      <c r="C114" s="99"/>
      <c r="D114" s="99"/>
      <c r="E114" s="99"/>
      <c r="F114" s="99"/>
      <c r="G114" s="99"/>
    </row>
    <row r="115" spans="3:7" x14ac:dyDescent="0.25">
      <c r="C115" s="99"/>
      <c r="D115" s="99"/>
      <c r="E115" s="99"/>
      <c r="F115" s="99"/>
      <c r="G115" s="99"/>
    </row>
    <row r="116" spans="3:7" x14ac:dyDescent="0.25">
      <c r="C116" s="99"/>
      <c r="D116" s="99"/>
      <c r="E116" s="99"/>
      <c r="F116" s="99"/>
      <c r="G116" s="99"/>
    </row>
    <row r="117" spans="3:7" x14ac:dyDescent="0.25">
      <c r="C117" s="99"/>
      <c r="D117" s="99"/>
      <c r="E117" s="99"/>
      <c r="F117" s="99"/>
      <c r="G117" s="99"/>
    </row>
    <row r="118" spans="3:7" x14ac:dyDescent="0.25">
      <c r="C118" s="99"/>
      <c r="D118" s="99"/>
      <c r="E118" s="99"/>
      <c r="F118" s="99"/>
      <c r="G118" s="99"/>
    </row>
    <row r="119" spans="3:7" x14ac:dyDescent="0.25">
      <c r="C119" s="99"/>
      <c r="D119" s="99"/>
      <c r="E119" s="99"/>
      <c r="F119" s="99"/>
      <c r="G119" s="99"/>
    </row>
    <row r="120" spans="3:7" x14ac:dyDescent="0.25">
      <c r="C120" s="99"/>
      <c r="D120" s="99"/>
      <c r="E120" s="99"/>
      <c r="F120" s="99"/>
      <c r="G120" s="99"/>
    </row>
    <row r="121" spans="3:7" x14ac:dyDescent="0.25">
      <c r="C121" s="99"/>
      <c r="D121" s="99"/>
      <c r="E121" s="99"/>
      <c r="F121" s="99"/>
      <c r="G121" s="99"/>
    </row>
    <row r="122" spans="3:7" x14ac:dyDescent="0.25">
      <c r="C122" s="99"/>
      <c r="D122" s="99"/>
      <c r="E122" s="99"/>
      <c r="F122" s="99"/>
      <c r="G122" s="99"/>
    </row>
    <row r="123" spans="3:7" x14ac:dyDescent="0.25">
      <c r="C123" s="99"/>
      <c r="D123" s="99"/>
      <c r="E123" s="99"/>
      <c r="F123" s="99"/>
      <c r="G123" s="99"/>
    </row>
    <row r="124" spans="3:7" x14ac:dyDescent="0.25">
      <c r="C124" s="99"/>
      <c r="D124" s="99"/>
      <c r="E124" s="99"/>
      <c r="F124" s="99"/>
      <c r="G124" s="99"/>
    </row>
    <row r="125" spans="3:7" x14ac:dyDescent="0.25">
      <c r="C125" s="99"/>
      <c r="D125" s="99"/>
      <c r="E125" s="99"/>
      <c r="F125" s="99"/>
      <c r="G125" s="99"/>
    </row>
    <row r="126" spans="3:7" x14ac:dyDescent="0.25">
      <c r="C126" s="99"/>
      <c r="D126" s="99"/>
      <c r="E126" s="99"/>
      <c r="F126" s="99"/>
      <c r="G126" s="99"/>
    </row>
    <row r="127" spans="3:7" x14ac:dyDescent="0.25">
      <c r="C127" s="99"/>
      <c r="D127" s="99"/>
      <c r="E127" s="99"/>
      <c r="F127" s="99"/>
      <c r="G127" s="99"/>
    </row>
    <row r="128" spans="3:7" x14ac:dyDescent="0.25">
      <c r="C128" s="99"/>
      <c r="D128" s="99"/>
      <c r="E128" s="99"/>
      <c r="F128" s="99"/>
      <c r="G128" s="99"/>
    </row>
    <row r="129" spans="3:7" x14ac:dyDescent="0.25">
      <c r="C129" s="99"/>
      <c r="D129" s="99"/>
      <c r="E129" s="99"/>
      <c r="F129" s="99"/>
      <c r="G129" s="99"/>
    </row>
    <row r="130" spans="3:7" x14ac:dyDescent="0.25">
      <c r="C130" s="99"/>
      <c r="D130" s="99"/>
      <c r="E130" s="99"/>
      <c r="F130" s="99"/>
      <c r="G130" s="99"/>
    </row>
    <row r="131" spans="3:7" x14ac:dyDescent="0.25">
      <c r="C131" s="99"/>
      <c r="D131" s="99"/>
      <c r="E131" s="99"/>
      <c r="F131" s="99"/>
      <c r="G131" s="99"/>
    </row>
    <row r="132" spans="3:7" x14ac:dyDescent="0.25">
      <c r="C132" s="99"/>
      <c r="D132" s="99"/>
      <c r="E132" s="99"/>
      <c r="F132" s="99"/>
      <c r="G132" s="99"/>
    </row>
    <row r="133" spans="3:7" x14ac:dyDescent="0.25">
      <c r="C133" s="99"/>
      <c r="D133" s="99"/>
      <c r="E133" s="99"/>
      <c r="F133" s="99"/>
      <c r="G133" s="99"/>
    </row>
    <row r="134" spans="3:7" x14ac:dyDescent="0.25">
      <c r="C134" s="99"/>
      <c r="D134" s="99"/>
      <c r="E134" s="99"/>
      <c r="F134" s="99"/>
      <c r="G134" s="99"/>
    </row>
    <row r="135" spans="3:7" x14ac:dyDescent="0.25">
      <c r="C135" s="99"/>
      <c r="D135" s="99"/>
      <c r="E135" s="99"/>
      <c r="F135" s="99"/>
      <c r="G135" s="99"/>
    </row>
    <row r="136" spans="3:7" x14ac:dyDescent="0.25">
      <c r="C136" s="99"/>
      <c r="D136" s="99"/>
      <c r="E136" s="99"/>
      <c r="F136" s="99"/>
      <c r="G136" s="99"/>
    </row>
    <row r="137" spans="3:7" x14ac:dyDescent="0.25">
      <c r="C137" s="99"/>
      <c r="D137" s="99"/>
      <c r="E137" s="99"/>
      <c r="F137" s="99"/>
      <c r="G137" s="99"/>
    </row>
    <row r="138" spans="3:7" x14ac:dyDescent="0.25">
      <c r="C138" s="99"/>
      <c r="D138" s="99"/>
      <c r="E138" s="99"/>
      <c r="F138" s="99"/>
      <c r="G138" s="99"/>
    </row>
    <row r="139" spans="3:7" x14ac:dyDescent="0.25">
      <c r="C139" s="99"/>
      <c r="D139" s="99"/>
      <c r="E139" s="99"/>
      <c r="F139" s="99"/>
      <c r="G139" s="99"/>
    </row>
    <row r="140" spans="3:7" x14ac:dyDescent="0.25">
      <c r="C140" s="99"/>
      <c r="D140" s="99"/>
      <c r="E140" s="99"/>
      <c r="F140" s="99"/>
      <c r="G140" s="99"/>
    </row>
    <row r="141" spans="3:7" x14ac:dyDescent="0.25">
      <c r="C141" s="99"/>
      <c r="D141" s="99"/>
      <c r="E141" s="99"/>
      <c r="F141" s="99"/>
      <c r="G141" s="99"/>
    </row>
    <row r="142" spans="3:7" x14ac:dyDescent="0.25">
      <c r="C142" s="99"/>
      <c r="D142" s="99"/>
      <c r="E142" s="99"/>
      <c r="F142" s="99"/>
      <c r="G142" s="99"/>
    </row>
    <row r="143" spans="3:7" x14ac:dyDescent="0.25">
      <c r="C143" s="99"/>
      <c r="D143" s="99"/>
      <c r="E143" s="99"/>
      <c r="F143" s="99"/>
      <c r="G143" s="99"/>
    </row>
    <row r="144" spans="3:7" x14ac:dyDescent="0.25">
      <c r="C144" s="99"/>
      <c r="D144" s="99"/>
      <c r="E144" s="99"/>
      <c r="F144" s="99"/>
      <c r="G144" s="99"/>
    </row>
    <row r="145" spans="3:7" x14ac:dyDescent="0.25">
      <c r="C145" s="99"/>
      <c r="D145" s="99"/>
      <c r="E145" s="99"/>
      <c r="F145" s="99"/>
      <c r="G145" s="99"/>
    </row>
    <row r="146" spans="3:7" x14ac:dyDescent="0.25">
      <c r="C146" s="99"/>
      <c r="D146" s="99"/>
      <c r="E146" s="99"/>
      <c r="F146" s="99"/>
      <c r="G146" s="99"/>
    </row>
    <row r="147" spans="3:7" x14ac:dyDescent="0.25">
      <c r="C147" s="99"/>
      <c r="D147" s="99"/>
      <c r="E147" s="99"/>
      <c r="F147" s="99"/>
      <c r="G147" s="99"/>
    </row>
    <row r="148" spans="3:7" x14ac:dyDescent="0.25">
      <c r="C148" s="99"/>
      <c r="D148" s="99"/>
      <c r="E148" s="99"/>
      <c r="F148" s="99"/>
      <c r="G148" s="99"/>
    </row>
    <row r="149" spans="3:7" x14ac:dyDescent="0.25">
      <c r="C149" s="99"/>
      <c r="D149" s="99"/>
      <c r="E149" s="99"/>
      <c r="F149" s="99"/>
      <c r="G149" s="99"/>
    </row>
    <row r="150" spans="3:7" x14ac:dyDescent="0.25">
      <c r="C150" s="99"/>
      <c r="D150" s="99"/>
      <c r="E150" s="99"/>
      <c r="F150" s="99"/>
      <c r="G150" s="99"/>
    </row>
    <row r="151" spans="3:7" x14ac:dyDescent="0.25">
      <c r="C151" s="99"/>
      <c r="D151" s="99"/>
      <c r="E151" s="99"/>
      <c r="F151" s="99"/>
      <c r="G151" s="99"/>
    </row>
    <row r="152" spans="3:7" x14ac:dyDescent="0.25">
      <c r="C152" s="99"/>
      <c r="D152" s="99"/>
      <c r="E152" s="99"/>
      <c r="F152" s="99"/>
      <c r="G152" s="99"/>
    </row>
    <row r="153" spans="3:7" x14ac:dyDescent="0.25">
      <c r="C153" s="99"/>
      <c r="D153" s="99"/>
      <c r="E153" s="99"/>
      <c r="F153" s="99"/>
      <c r="G153" s="99"/>
    </row>
    <row r="154" spans="3:7" x14ac:dyDescent="0.25">
      <c r="C154" s="99"/>
      <c r="D154" s="99"/>
      <c r="E154" s="99"/>
      <c r="F154" s="99"/>
      <c r="G154" s="99"/>
    </row>
    <row r="155" spans="3:7" x14ac:dyDescent="0.25">
      <c r="C155" s="99"/>
      <c r="D155" s="99"/>
      <c r="E155" s="99"/>
      <c r="F155" s="99"/>
      <c r="G155" s="99"/>
    </row>
    <row r="156" spans="3:7" x14ac:dyDescent="0.25">
      <c r="C156" s="99"/>
      <c r="D156" s="99"/>
      <c r="E156" s="99"/>
      <c r="F156" s="99"/>
      <c r="G156" s="99"/>
    </row>
    <row r="157" spans="3:7" x14ac:dyDescent="0.25">
      <c r="C157" s="99"/>
      <c r="D157" s="99"/>
      <c r="E157" s="99"/>
      <c r="F157" s="99"/>
      <c r="G157" s="99"/>
    </row>
    <row r="158" spans="3:7" x14ac:dyDescent="0.25">
      <c r="C158" s="99"/>
      <c r="D158" s="99"/>
      <c r="E158" s="99"/>
      <c r="F158" s="99"/>
      <c r="G158" s="99"/>
    </row>
    <row r="159" spans="3:7" x14ac:dyDescent="0.25">
      <c r="C159" s="99"/>
      <c r="D159" s="99"/>
      <c r="E159" s="99"/>
      <c r="F159" s="99"/>
      <c r="G159" s="99"/>
    </row>
    <row r="160" spans="3:7" x14ac:dyDescent="0.25">
      <c r="C160" s="99"/>
      <c r="D160" s="99"/>
      <c r="E160" s="99"/>
      <c r="F160" s="99"/>
      <c r="G160" s="99"/>
    </row>
    <row r="161" spans="3:7" x14ac:dyDescent="0.25">
      <c r="C161" s="99"/>
      <c r="D161" s="99"/>
      <c r="E161" s="99"/>
      <c r="F161" s="99"/>
      <c r="G161" s="99"/>
    </row>
    <row r="162" spans="3:7" x14ac:dyDescent="0.25">
      <c r="C162" s="99"/>
      <c r="D162" s="99"/>
      <c r="E162" s="99"/>
      <c r="F162" s="99"/>
      <c r="G162" s="99"/>
    </row>
    <row r="163" spans="3:7" x14ac:dyDescent="0.25">
      <c r="C163" s="99"/>
      <c r="D163" s="99"/>
      <c r="E163" s="99"/>
      <c r="F163" s="99"/>
      <c r="G163" s="99"/>
    </row>
    <row r="164" spans="3:7" x14ac:dyDescent="0.25">
      <c r="C164" s="99"/>
      <c r="D164" s="99"/>
      <c r="E164" s="99"/>
      <c r="F164" s="99"/>
      <c r="G164" s="99"/>
    </row>
    <row r="165" spans="3:7" x14ac:dyDescent="0.25">
      <c r="C165" s="99"/>
      <c r="D165" s="99"/>
      <c r="E165" s="99"/>
      <c r="F165" s="99"/>
      <c r="G165" s="99"/>
    </row>
    <row r="166" spans="3:7" x14ac:dyDescent="0.25">
      <c r="C166" s="99"/>
      <c r="D166" s="99"/>
      <c r="E166" s="99"/>
      <c r="F166" s="99"/>
      <c r="G166" s="99"/>
    </row>
    <row r="167" spans="3:7" x14ac:dyDescent="0.25">
      <c r="C167" s="99"/>
      <c r="D167" s="99"/>
      <c r="E167" s="99"/>
      <c r="F167" s="99"/>
      <c r="G167" s="99"/>
    </row>
    <row r="168" spans="3:7" x14ac:dyDescent="0.25">
      <c r="C168" s="99"/>
      <c r="D168" s="99"/>
      <c r="E168" s="99"/>
      <c r="F168" s="99"/>
      <c r="G168" s="99"/>
    </row>
    <row r="169" spans="3:7" x14ac:dyDescent="0.25">
      <c r="C169" s="99"/>
      <c r="D169" s="99"/>
      <c r="E169" s="99"/>
      <c r="F169" s="99"/>
      <c r="G169" s="99"/>
    </row>
    <row r="170" spans="3:7" x14ac:dyDescent="0.25">
      <c r="C170" s="99"/>
      <c r="D170" s="99"/>
      <c r="E170" s="99"/>
      <c r="F170" s="99"/>
      <c r="G170" s="99"/>
    </row>
    <row r="171" spans="3:7" x14ac:dyDescent="0.25">
      <c r="C171" s="99"/>
      <c r="D171" s="99"/>
      <c r="E171" s="99"/>
      <c r="F171" s="99"/>
      <c r="G171" s="99"/>
    </row>
    <row r="172" spans="3:7" x14ac:dyDescent="0.25">
      <c r="C172" s="99"/>
      <c r="D172" s="99"/>
      <c r="E172" s="99"/>
      <c r="F172" s="99"/>
      <c r="G172" s="99"/>
    </row>
    <row r="173" spans="3:7" x14ac:dyDescent="0.25">
      <c r="C173" s="99"/>
      <c r="D173" s="99"/>
      <c r="E173" s="99"/>
      <c r="F173" s="99"/>
      <c r="G173" s="99"/>
    </row>
    <row r="174" spans="3:7" x14ac:dyDescent="0.25">
      <c r="C174" s="99"/>
      <c r="D174" s="99"/>
      <c r="E174" s="99"/>
      <c r="F174" s="99"/>
      <c r="G174" s="99"/>
    </row>
    <row r="175" spans="3:7" x14ac:dyDescent="0.25">
      <c r="C175" s="99"/>
      <c r="D175" s="99"/>
      <c r="E175" s="99"/>
      <c r="F175" s="99"/>
      <c r="G175" s="99"/>
    </row>
    <row r="176" spans="3:7" x14ac:dyDescent="0.25">
      <c r="C176" s="99"/>
      <c r="D176" s="99"/>
      <c r="E176" s="99"/>
      <c r="F176" s="99"/>
      <c r="G176" s="99"/>
    </row>
    <row r="177" spans="3:7" x14ac:dyDescent="0.25">
      <c r="C177" s="99"/>
      <c r="D177" s="99"/>
      <c r="E177" s="99"/>
      <c r="F177" s="99"/>
      <c r="G177" s="99"/>
    </row>
    <row r="178" spans="3:7" x14ac:dyDescent="0.25">
      <c r="C178" s="99"/>
      <c r="D178" s="99"/>
      <c r="E178" s="99"/>
      <c r="F178" s="99"/>
      <c r="G178" s="99"/>
    </row>
    <row r="179" spans="3:7" x14ac:dyDescent="0.25">
      <c r="C179" s="99"/>
      <c r="D179" s="99"/>
      <c r="E179" s="99"/>
      <c r="F179" s="99"/>
      <c r="G179" s="99"/>
    </row>
    <row r="180" spans="3:7" x14ac:dyDescent="0.25">
      <c r="C180" s="99"/>
      <c r="D180" s="99"/>
      <c r="E180" s="99"/>
      <c r="F180" s="99"/>
      <c r="G180" s="99"/>
    </row>
    <row r="181" spans="3:7" x14ac:dyDescent="0.25">
      <c r="C181" s="99"/>
      <c r="D181" s="99"/>
      <c r="E181" s="99"/>
      <c r="F181" s="99"/>
      <c r="G181" s="99"/>
    </row>
    <row r="182" spans="3:7" x14ac:dyDescent="0.25">
      <c r="C182" s="99"/>
      <c r="D182" s="99"/>
      <c r="E182" s="99"/>
      <c r="F182" s="99"/>
      <c r="G182" s="99"/>
    </row>
    <row r="183" spans="3:7" x14ac:dyDescent="0.25">
      <c r="C183" s="99"/>
      <c r="D183" s="99"/>
      <c r="E183" s="99"/>
      <c r="F183" s="99"/>
      <c r="G183" s="99"/>
    </row>
    <row r="184" spans="3:7" x14ac:dyDescent="0.25">
      <c r="C184" s="99"/>
      <c r="D184" s="99"/>
      <c r="E184" s="99"/>
      <c r="F184" s="99"/>
      <c r="G184" s="99"/>
    </row>
    <row r="185" spans="3:7" x14ac:dyDescent="0.25">
      <c r="C185" s="99"/>
      <c r="D185" s="99"/>
      <c r="E185" s="99"/>
      <c r="F185" s="99"/>
      <c r="G185" s="99"/>
    </row>
    <row r="186" spans="3:7" x14ac:dyDescent="0.25">
      <c r="C186" s="99"/>
      <c r="D186" s="99"/>
      <c r="E186" s="99"/>
      <c r="F186" s="99"/>
      <c r="G186" s="99"/>
    </row>
    <row r="187" spans="3:7" x14ac:dyDescent="0.25">
      <c r="C187" s="99"/>
      <c r="D187" s="99"/>
      <c r="E187" s="99"/>
      <c r="F187" s="99"/>
      <c r="G187" s="99"/>
    </row>
    <row r="188" spans="3:7" x14ac:dyDescent="0.25">
      <c r="C188" s="99"/>
      <c r="D188" s="99"/>
      <c r="E188" s="99"/>
      <c r="F188" s="99"/>
      <c r="G188" s="99"/>
    </row>
    <row r="189" spans="3:7" x14ac:dyDescent="0.25">
      <c r="C189" s="99"/>
      <c r="D189" s="99"/>
      <c r="E189" s="99"/>
      <c r="F189" s="99"/>
      <c r="G189" s="99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zoomScale="60" zoomScaleNormal="100" workbookViewId="0">
      <selection activeCell="A3" sqref="A3:M35"/>
    </sheetView>
  </sheetViews>
  <sheetFormatPr defaultRowHeight="15" x14ac:dyDescent="0.25"/>
  <cols>
    <col min="1" max="1" width="5.42578125" style="104" bestFit="1" customWidth="1"/>
    <col min="2" max="2" width="38.42578125" style="104" bestFit="1" customWidth="1"/>
    <col min="3" max="3" width="9.85546875" style="104" bestFit="1" customWidth="1"/>
    <col min="4" max="7" width="11.28515625" style="104" bestFit="1" customWidth="1"/>
    <col min="8" max="8" width="12.5703125" style="104" bestFit="1" customWidth="1"/>
    <col min="9" max="13" width="13" style="104" bestFit="1" customWidth="1"/>
    <col min="14" max="16384" width="9.140625" style="104"/>
  </cols>
  <sheetData>
    <row r="1" spans="1:13" x14ac:dyDescent="0.25">
      <c r="A1" s="305" t="s">
        <v>323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3" x14ac:dyDescent="0.25">
      <c r="A3" s="118" t="s">
        <v>324</v>
      </c>
      <c r="B3" s="118" t="s">
        <v>1</v>
      </c>
      <c r="C3" s="118" t="s">
        <v>453</v>
      </c>
      <c r="D3" s="118" t="s">
        <v>36</v>
      </c>
      <c r="E3" s="118" t="s">
        <v>37</v>
      </c>
      <c r="F3" s="118" t="s">
        <v>38</v>
      </c>
      <c r="G3" s="118" t="s">
        <v>39</v>
      </c>
      <c r="H3" s="118" t="s">
        <v>40</v>
      </c>
      <c r="I3" s="118" t="s">
        <v>41</v>
      </c>
      <c r="J3" s="118" t="s">
        <v>42</v>
      </c>
      <c r="K3" s="118" t="s">
        <v>502</v>
      </c>
      <c r="L3" s="118" t="s">
        <v>503</v>
      </c>
      <c r="M3" s="118" t="s">
        <v>504</v>
      </c>
    </row>
    <row r="4" spans="1:13" x14ac:dyDescent="0.25">
      <c r="A4" s="105">
        <v>1</v>
      </c>
      <c r="B4" s="105" t="s">
        <v>325</v>
      </c>
      <c r="C4" s="105"/>
      <c r="D4" s="106"/>
      <c r="E4" s="106"/>
      <c r="F4" s="106"/>
      <c r="G4" s="106"/>
      <c r="H4" s="106"/>
      <c r="I4" s="36"/>
      <c r="J4" s="36"/>
      <c r="K4" s="36"/>
      <c r="L4" s="36"/>
      <c r="M4" s="36"/>
    </row>
    <row r="5" spans="1:13" x14ac:dyDescent="0.25">
      <c r="A5" s="105"/>
      <c r="B5" s="105" t="s">
        <v>326</v>
      </c>
      <c r="C5" s="113">
        <v>0</v>
      </c>
      <c r="D5" s="107">
        <f>'P&amp;L'!B9</f>
        <v>622.73</v>
      </c>
      <c r="E5" s="107">
        <f>'P&amp;L'!C9</f>
        <v>752.48850000000004</v>
      </c>
      <c r="F5" s="107">
        <f>'P&amp;L'!D9</f>
        <v>868.51330000000007</v>
      </c>
      <c r="G5" s="107">
        <f>'P&amp;L'!E9</f>
        <v>994.71849999999995</v>
      </c>
      <c r="H5" s="107">
        <f>'P&amp;L'!F9</f>
        <v>1132.1507000000001</v>
      </c>
      <c r="I5" s="107">
        <f>'P&amp;L'!G9</f>
        <v>1281.3204000000001</v>
      </c>
      <c r="J5" s="107">
        <f>'P&amp;L'!H9</f>
        <v>1441.7187000000001</v>
      </c>
      <c r="K5" s="107">
        <f>'P&amp;L'!I9</f>
        <v>1518.2213999999999</v>
      </c>
      <c r="L5" s="107">
        <f>'P&amp;L'!J9</f>
        <v>1695.7975000000001</v>
      </c>
      <c r="M5" s="107">
        <f>'P&amp;L'!K9</f>
        <v>1893.123</v>
      </c>
    </row>
    <row r="6" spans="1:13" x14ac:dyDescent="0.25">
      <c r="A6" s="105">
        <v>2</v>
      </c>
      <c r="B6" s="105" t="s">
        <v>327</v>
      </c>
      <c r="C6" s="181">
        <f>BS!B20</f>
        <v>0</v>
      </c>
      <c r="D6" s="108"/>
      <c r="E6" s="106">
        <v>0</v>
      </c>
      <c r="F6" s="106">
        <v>0</v>
      </c>
      <c r="G6" s="106">
        <v>0</v>
      </c>
      <c r="H6" s="106">
        <v>0</v>
      </c>
      <c r="I6" s="106">
        <v>0</v>
      </c>
      <c r="J6" s="106">
        <v>0</v>
      </c>
      <c r="K6" s="106">
        <v>0</v>
      </c>
      <c r="L6" s="106">
        <v>0</v>
      </c>
      <c r="M6" s="106">
        <v>0</v>
      </c>
    </row>
    <row r="7" spans="1:13" x14ac:dyDescent="0.25">
      <c r="A7" s="105">
        <v>3</v>
      </c>
      <c r="B7" s="105" t="s">
        <v>300</v>
      </c>
      <c r="C7" s="181">
        <f>BS!B7</f>
        <v>42.333557500000005</v>
      </c>
      <c r="D7" s="108"/>
      <c r="E7" s="108">
        <v>0</v>
      </c>
      <c r="F7" s="108">
        <v>0</v>
      </c>
      <c r="G7" s="106">
        <v>0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</row>
    <row r="8" spans="1:13" x14ac:dyDescent="0.25">
      <c r="A8" s="105">
        <v>4</v>
      </c>
      <c r="B8" s="105" t="s">
        <v>328</v>
      </c>
      <c r="C8" s="105"/>
      <c r="D8" s="108">
        <f>BS!C21</f>
        <v>17.38067250000001</v>
      </c>
      <c r="E8" s="108">
        <f>BS!D21-BS!C21</f>
        <v>5.1130399999999909</v>
      </c>
      <c r="F8" s="108">
        <f>BS!E21-BS!D21</f>
        <v>3.557774843750007</v>
      </c>
      <c r="G8" s="108">
        <f>BS!F21-BS!E21</f>
        <v>4.1756868359374977</v>
      </c>
      <c r="H8" s="108">
        <f>BS!G21-BS!F21</f>
        <v>4.205517927734352</v>
      </c>
      <c r="I8" s="108">
        <f>BS!H21-BS!G21</f>
        <v>4.9833998866211289</v>
      </c>
      <c r="J8" s="108">
        <f>BS!I21-BS!H21</f>
        <v>4.992452412202141</v>
      </c>
      <c r="K8" s="108">
        <f>BS!J21-BS!I21</f>
        <v>2.7077981265622384</v>
      </c>
      <c r="L8" s="108">
        <f>BS!K21-BS!J21</f>
        <v>5.4774500641403847</v>
      </c>
      <c r="M8" s="108">
        <f>BS!L21-BS!K21</f>
        <v>5.5982210360973923</v>
      </c>
    </row>
    <row r="9" spans="1:13" x14ac:dyDescent="0.25">
      <c r="A9" s="105">
        <v>5</v>
      </c>
      <c r="B9" s="105" t="s">
        <v>329</v>
      </c>
      <c r="C9" s="181">
        <f>BS!B13</f>
        <v>54.809999999999995</v>
      </c>
      <c r="D9" s="108">
        <v>0</v>
      </c>
      <c r="E9" s="108">
        <v>0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8">
        <v>0</v>
      </c>
      <c r="L9" s="108">
        <v>0</v>
      </c>
      <c r="M9" s="108">
        <v>0</v>
      </c>
    </row>
    <row r="10" spans="1:13" x14ac:dyDescent="0.25">
      <c r="A10" s="105">
        <v>6</v>
      </c>
      <c r="B10" s="105" t="s">
        <v>330</v>
      </c>
      <c r="C10" s="105"/>
      <c r="D10" s="108">
        <f>BS!C22</f>
        <v>55.344853333333326</v>
      </c>
      <c r="E10" s="108">
        <f>BS!D22-BS!C22</f>
        <v>6.9025175000000161</v>
      </c>
      <c r="F10" s="108">
        <f>BS!E22-BS!D22</f>
        <v>9.4335668749999897</v>
      </c>
      <c r="G10" s="108">
        <f>BS!F22-BS!E22</f>
        <v>10.244467552083336</v>
      </c>
      <c r="H10" s="108">
        <f>BS!G22-BS!F22</f>
        <v>11.101084429687518</v>
      </c>
      <c r="I10" s="108">
        <f>BS!H22-BS!G22</f>
        <v>12.029770984505177</v>
      </c>
      <c r="J10" s="108">
        <f>BS!I22-BS!H22</f>
        <v>12.887959283730481</v>
      </c>
      <c r="K10" s="108">
        <f>BS!J22-BS!I22</f>
        <v>5.4324149979169931</v>
      </c>
      <c r="L10" s="108">
        <f>BS!K22-BS!J22</f>
        <v>14.890937414479495</v>
      </c>
      <c r="M10" s="108">
        <f>BS!L22-BS!K22</f>
        <v>15.727301118536815</v>
      </c>
    </row>
    <row r="11" spans="1:13" x14ac:dyDescent="0.25">
      <c r="A11" s="105"/>
      <c r="B11" s="105"/>
      <c r="C11" s="105"/>
      <c r="D11" s="106"/>
      <c r="E11" s="106"/>
      <c r="F11" s="106"/>
      <c r="G11" s="106"/>
      <c r="H11" s="106"/>
      <c r="I11" s="36"/>
      <c r="J11" s="36"/>
      <c r="K11" s="36"/>
      <c r="L11" s="36"/>
      <c r="M11" s="36"/>
    </row>
    <row r="12" spans="1:13" x14ac:dyDescent="0.25">
      <c r="A12" s="105"/>
      <c r="B12" s="105" t="s">
        <v>331</v>
      </c>
      <c r="C12" s="109">
        <f>SUM(C5:C11)</f>
        <v>97.1435575</v>
      </c>
      <c r="D12" s="109">
        <f>SUM(D5:D11)</f>
        <v>695.45552583333335</v>
      </c>
      <c r="E12" s="109">
        <f t="shared" ref="E12:M12" si="0">SUM(E5:E11)</f>
        <v>764.50405750000004</v>
      </c>
      <c r="F12" s="109">
        <f t="shared" si="0"/>
        <v>881.50464171875012</v>
      </c>
      <c r="G12" s="109">
        <f t="shared" si="0"/>
        <v>1009.1386543880208</v>
      </c>
      <c r="H12" s="109">
        <f t="shared" si="0"/>
        <v>1147.4573023574219</v>
      </c>
      <c r="I12" s="109">
        <f t="shared" si="0"/>
        <v>1298.3335708711263</v>
      </c>
      <c r="J12" s="109">
        <f t="shared" si="0"/>
        <v>1459.5991116959326</v>
      </c>
      <c r="K12" s="109">
        <f t="shared" si="0"/>
        <v>1526.3616131244792</v>
      </c>
      <c r="L12" s="109">
        <f t="shared" si="0"/>
        <v>1716.1658874786201</v>
      </c>
      <c r="M12" s="109">
        <f t="shared" si="0"/>
        <v>1914.4485221546342</v>
      </c>
    </row>
    <row r="13" spans="1:13" x14ac:dyDescent="0.25">
      <c r="A13" s="307" t="s">
        <v>332</v>
      </c>
      <c r="B13" s="307"/>
      <c r="C13" s="110"/>
      <c r="D13" s="111"/>
      <c r="E13" s="111"/>
      <c r="F13" s="111"/>
      <c r="G13" s="111"/>
      <c r="H13" s="111"/>
      <c r="I13" s="36"/>
      <c r="J13" s="36"/>
      <c r="K13" s="36"/>
      <c r="L13" s="36"/>
      <c r="M13" s="36"/>
    </row>
    <row r="14" spans="1:13" x14ac:dyDescent="0.25">
      <c r="A14" s="105">
        <v>1</v>
      </c>
      <c r="B14" s="105" t="s">
        <v>333</v>
      </c>
      <c r="C14" s="105"/>
      <c r="D14" s="111"/>
      <c r="E14" s="111"/>
      <c r="F14" s="111"/>
      <c r="G14" s="111"/>
      <c r="H14" s="111"/>
      <c r="I14" s="36"/>
      <c r="J14" s="36"/>
      <c r="K14" s="36"/>
      <c r="L14" s="36"/>
      <c r="M14" s="36"/>
    </row>
    <row r="15" spans="1:13" x14ac:dyDescent="0.25">
      <c r="A15" s="112" t="s">
        <v>334</v>
      </c>
      <c r="B15" s="111" t="s">
        <v>438</v>
      </c>
      <c r="C15" s="182">
        <f>'Project Glance'!B6+'Project Glance'!B7+'Project Glance'!B8+'Project Glance'!B9</f>
        <v>87</v>
      </c>
      <c r="D15" s="108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</row>
    <row r="16" spans="1:13" x14ac:dyDescent="0.25">
      <c r="A16" s="112" t="s">
        <v>335</v>
      </c>
      <c r="B16" s="111" t="s">
        <v>337</v>
      </c>
      <c r="C16" s="182">
        <f>'Project Glance'!B10</f>
        <v>4.3499999999999996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  <c r="M16" s="108">
        <v>0</v>
      </c>
    </row>
    <row r="17" spans="1:13" x14ac:dyDescent="0.25">
      <c r="A17" s="112" t="s">
        <v>336</v>
      </c>
      <c r="B17" s="111" t="s">
        <v>21</v>
      </c>
      <c r="C17" s="182">
        <f>'Project Glance'!B12</f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</row>
    <row r="18" spans="1:13" x14ac:dyDescent="0.25">
      <c r="A18" s="112" t="s">
        <v>439</v>
      </c>
      <c r="B18" s="111" t="s">
        <v>440</v>
      </c>
      <c r="C18" s="182">
        <f>'Project Glance'!B11</f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</row>
    <row r="19" spans="1:13" x14ac:dyDescent="0.25">
      <c r="A19" s="112"/>
      <c r="B19" s="111"/>
      <c r="C19" s="111"/>
      <c r="D19" s="108"/>
      <c r="E19" s="108"/>
      <c r="F19" s="108"/>
      <c r="G19" s="108"/>
      <c r="H19" s="108"/>
      <c r="I19" s="108"/>
      <c r="J19" s="108"/>
      <c r="K19" s="36"/>
      <c r="L19" s="36"/>
      <c r="M19" s="36"/>
    </row>
    <row r="20" spans="1:13" x14ac:dyDescent="0.25">
      <c r="A20" s="105">
        <v>2</v>
      </c>
      <c r="B20" s="105" t="s">
        <v>338</v>
      </c>
      <c r="C20" s="105"/>
      <c r="D20" s="111"/>
      <c r="E20" s="111"/>
      <c r="F20" s="111"/>
      <c r="G20" s="111"/>
      <c r="H20" s="111"/>
      <c r="I20" s="36"/>
      <c r="J20" s="36"/>
      <c r="K20" s="36"/>
      <c r="L20" s="36"/>
      <c r="M20" s="36"/>
    </row>
    <row r="21" spans="1:13" x14ac:dyDescent="0.25">
      <c r="A21" s="112" t="s">
        <v>334</v>
      </c>
      <c r="B21" s="111" t="s">
        <v>339</v>
      </c>
      <c r="C21" s="111"/>
      <c r="D21" s="108">
        <f>'P&amp;L'!B23</f>
        <v>9.4050000000000011</v>
      </c>
      <c r="E21" s="108">
        <f>'P&amp;L'!C23</f>
        <v>9.8752500000000012</v>
      </c>
      <c r="F21" s="108">
        <f>'P&amp;L'!D23</f>
        <v>10.3690125</v>
      </c>
      <c r="G21" s="108">
        <f>'P&amp;L'!E23</f>
        <v>10.887463125000004</v>
      </c>
      <c r="H21" s="108">
        <f>'P&amp;L'!F23</f>
        <v>11.431836281250003</v>
      </c>
      <c r="I21" s="108">
        <f>'P&amp;L'!G23</f>
        <v>12.003428095312501</v>
      </c>
      <c r="J21" s="108">
        <f>'P&amp;L'!H23</f>
        <v>12.603599500078129</v>
      </c>
      <c r="K21" s="108">
        <f>'P&amp;L'!I23</f>
        <v>13.233779475082034</v>
      </c>
      <c r="L21" s="108">
        <f>'P&amp;L'!J23</f>
        <v>13.895468448836136</v>
      </c>
      <c r="M21" s="108">
        <f>'P&amp;L'!K23</f>
        <v>14.590241871277945</v>
      </c>
    </row>
    <row r="22" spans="1:13" x14ac:dyDescent="0.25">
      <c r="A22" s="112" t="s">
        <v>335</v>
      </c>
      <c r="B22" s="111" t="s">
        <v>340</v>
      </c>
      <c r="C22" s="111"/>
      <c r="D22" s="107">
        <f>'P&amp;L'!B25</f>
        <v>19.221240000000002</v>
      </c>
      <c r="E22" s="107">
        <f>'P&amp;L'!C25</f>
        <v>21.870999999999999</v>
      </c>
      <c r="F22" s="107">
        <f>'P&amp;L'!D25</f>
        <v>24.617440000000006</v>
      </c>
      <c r="G22" s="107">
        <f>'P&amp;L'!E25</f>
        <v>27.318199999999997</v>
      </c>
      <c r="H22" s="107">
        <f>'P&amp;L'!F25</f>
        <v>30.259640000000005</v>
      </c>
      <c r="I22" s="107">
        <f>'P&amp;L'!G25</f>
        <v>33.143400000000007</v>
      </c>
      <c r="J22" s="107">
        <f>'P&amp;L'!H25</f>
        <v>36.26784</v>
      </c>
      <c r="K22" s="107">
        <f>'P&amp;L'!I25</f>
        <v>36.28584</v>
      </c>
      <c r="L22" s="107">
        <f>'P&amp;L'!J25</f>
        <v>38.5886</v>
      </c>
      <c r="M22" s="107">
        <f>'P&amp;L'!K25</f>
        <v>41.081040000000002</v>
      </c>
    </row>
    <row r="23" spans="1:13" x14ac:dyDescent="0.25">
      <c r="A23" s="112" t="s">
        <v>336</v>
      </c>
      <c r="B23" s="111" t="s">
        <v>351</v>
      </c>
      <c r="C23" s="111"/>
      <c r="D23" s="107">
        <f>'P&amp;L'!B16</f>
        <v>635.51199999999994</v>
      </c>
      <c r="E23" s="107">
        <f>'P&amp;L'!C16</f>
        <v>715.22220000000004</v>
      </c>
      <c r="F23" s="107">
        <f>'P&amp;L'!D16</f>
        <v>825.1848</v>
      </c>
      <c r="G23" s="107">
        <f>'P&amp;L'!E16</f>
        <v>944.89919999999995</v>
      </c>
      <c r="H23" s="107">
        <f>'P&amp;L'!F16</f>
        <v>1074.6264000000001</v>
      </c>
      <c r="I23" s="107">
        <f>'P&amp;L'!G16</f>
        <v>1215.5282999999999</v>
      </c>
      <c r="J23" s="107">
        <f>'P&amp;L'!H16</f>
        <v>1366.4592</v>
      </c>
      <c r="K23" s="107">
        <f>'P&amp;L'!I16</f>
        <v>1431</v>
      </c>
      <c r="L23" s="107">
        <f>'P&amp;L'!J16</f>
        <v>1606.7267999999999</v>
      </c>
      <c r="M23" s="107">
        <f>'P&amp;L'!K16</f>
        <v>1792.2672</v>
      </c>
    </row>
    <row r="24" spans="1:13" hidden="1" x14ac:dyDescent="0.25">
      <c r="A24" s="112" t="s">
        <v>439</v>
      </c>
      <c r="B24" s="111" t="s">
        <v>464</v>
      </c>
      <c r="C24" s="111"/>
      <c r="D24" s="107">
        <f>BS!C45-BS!B45</f>
        <v>0</v>
      </c>
      <c r="E24" s="107">
        <f>BS!D45-BS!C45</f>
        <v>0</v>
      </c>
      <c r="F24" s="107">
        <f>BS!E45-BS!D45</f>
        <v>0</v>
      </c>
      <c r="G24" s="107">
        <f>BS!F45-BS!E45</f>
        <v>0</v>
      </c>
      <c r="H24" s="107">
        <f>BS!G45-BS!F45</f>
        <v>0</v>
      </c>
      <c r="I24" s="107">
        <f>BS!H45-BS!G45</f>
        <v>0</v>
      </c>
      <c r="J24" s="107">
        <f>BS!I45-BS!H45</f>
        <v>0</v>
      </c>
      <c r="K24" s="107">
        <f>BS!J45-BS!I45</f>
        <v>0</v>
      </c>
      <c r="L24" s="107">
        <f>BS!K45-BS!J45</f>
        <v>0</v>
      </c>
      <c r="M24" s="107">
        <f>BS!L45-BS!K45</f>
        <v>0</v>
      </c>
    </row>
    <row r="25" spans="1:13" x14ac:dyDescent="0.25">
      <c r="A25" s="105">
        <v>3</v>
      </c>
      <c r="B25" s="105" t="s">
        <v>341</v>
      </c>
      <c r="C25" s="105"/>
      <c r="D25" s="183">
        <f>BS!B20-BS!C20</f>
        <v>0</v>
      </c>
      <c r="E25" s="183">
        <f>BS!C20-BS!D20</f>
        <v>0</v>
      </c>
      <c r="F25" s="183">
        <f>BS!D20-BS!E20</f>
        <v>0</v>
      </c>
      <c r="G25" s="183">
        <f>BS!E20-BS!F20</f>
        <v>0</v>
      </c>
      <c r="H25" s="183">
        <f>BS!F20-BS!G20</f>
        <v>0</v>
      </c>
      <c r="I25" s="183">
        <f>BS!G20-BS!H20</f>
        <v>0</v>
      </c>
      <c r="J25" s="183">
        <f>BS!H20-BS!I20</f>
        <v>0</v>
      </c>
      <c r="K25" s="183">
        <f>BS!I20-BS!J20</f>
        <v>0</v>
      </c>
      <c r="L25" s="183">
        <f>BS!J20-BS!K20</f>
        <v>0</v>
      </c>
      <c r="M25" s="183">
        <f>BS!K20-BS!L20</f>
        <v>0</v>
      </c>
    </row>
    <row r="26" spans="1:13" x14ac:dyDescent="0.25">
      <c r="A26" s="112" t="s">
        <v>334</v>
      </c>
      <c r="B26" s="111" t="s">
        <v>342</v>
      </c>
      <c r="C26" s="111"/>
      <c r="D26" s="108">
        <f>'P&amp;L'!B30</f>
        <v>0</v>
      </c>
      <c r="E26" s="108">
        <f>'P&amp;L'!C30</f>
        <v>0</v>
      </c>
      <c r="F26" s="108">
        <f>'P&amp;L'!D30</f>
        <v>0</v>
      </c>
      <c r="G26" s="108">
        <f>'P&amp;L'!E30</f>
        <v>0</v>
      </c>
      <c r="H26" s="108">
        <f>'P&amp;L'!F30</f>
        <v>0</v>
      </c>
      <c r="I26" s="108">
        <f>'P&amp;L'!G30</f>
        <v>0</v>
      </c>
      <c r="J26" s="108">
        <f>'P&amp;L'!H30</f>
        <v>0</v>
      </c>
      <c r="K26" s="108">
        <f>'P&amp;L'!I30</f>
        <v>0</v>
      </c>
      <c r="L26" s="108">
        <f>'P&amp;L'!J30</f>
        <v>0</v>
      </c>
      <c r="M26" s="108">
        <f>'P&amp;L'!K30</f>
        <v>0</v>
      </c>
    </row>
    <row r="27" spans="1:13" x14ac:dyDescent="0.25">
      <c r="A27" s="112" t="s">
        <v>335</v>
      </c>
      <c r="B27" s="111" t="s">
        <v>343</v>
      </c>
      <c r="C27" s="111"/>
      <c r="D27" s="108">
        <f>'P&amp;L'!B31</f>
        <v>1.5642605250000008</v>
      </c>
      <c r="E27" s="108">
        <f>'P&amp;L'!C31</f>
        <v>2.024434125</v>
      </c>
      <c r="F27" s="108">
        <f>'P&amp;L'!D31</f>
        <v>2.3446338609375008</v>
      </c>
      <c r="G27" s="108">
        <f>'P&amp;L'!E31</f>
        <v>2.7204456761718756</v>
      </c>
      <c r="H27" s="108">
        <f>'P&amp;L'!F31</f>
        <v>3.098942289667967</v>
      </c>
      <c r="I27" s="108">
        <f>'P&amp;L'!G31</f>
        <v>3.5474482794638686</v>
      </c>
      <c r="J27" s="108">
        <f>'P&amp;L'!H31</f>
        <v>3.9967689965620612</v>
      </c>
      <c r="K27" s="108">
        <f>'P&amp;L'!I31</f>
        <v>4.2404708279526631</v>
      </c>
      <c r="L27" s="108">
        <f>'P&amp;L'!J31</f>
        <v>4.7334413337252972</v>
      </c>
      <c r="M27" s="108">
        <f>'P&amp;L'!K31</f>
        <v>5.237281226974063</v>
      </c>
    </row>
    <row r="28" spans="1:13" x14ac:dyDescent="0.25">
      <c r="A28" s="105">
        <v>4</v>
      </c>
      <c r="B28" s="105" t="s">
        <v>344</v>
      </c>
      <c r="C28" s="105"/>
      <c r="D28" s="108">
        <f>BS!C36</f>
        <v>25.947083333333335</v>
      </c>
      <c r="E28" s="108">
        <f>BS!D36-BS!C36</f>
        <v>5.4066041666666678</v>
      </c>
      <c r="F28" s="108">
        <f>BS!E36-BS!D36</f>
        <v>4.8343666666666643</v>
      </c>
      <c r="G28" s="108">
        <f>BS!F36-BS!E36</f>
        <v>5.2585499999999996</v>
      </c>
      <c r="H28" s="108">
        <f>BS!G36-BS!F36</f>
        <v>5.72634166666667</v>
      </c>
      <c r="I28" s="108">
        <f>BS!H36-BS!G36</f>
        <v>6.2154041666666657</v>
      </c>
      <c r="J28" s="108">
        <f>BS!I36-BS!H36</f>
        <v>6.683262500000005</v>
      </c>
      <c r="K28" s="108">
        <f>BS!J36-BS!I36</f>
        <v>3.187612499999986</v>
      </c>
      <c r="L28" s="108">
        <f>BS!K36-BS!J36</f>
        <v>7.3990041666666784</v>
      </c>
      <c r="M28" s="108">
        <f>BS!L36-BS!K36</f>
        <v>8.2218958333333347</v>
      </c>
    </row>
    <row r="29" spans="1:13" x14ac:dyDescent="0.25">
      <c r="A29" s="105"/>
      <c r="B29" s="105"/>
      <c r="C29" s="105"/>
      <c r="D29" s="108"/>
      <c r="E29" s="108"/>
      <c r="F29" s="108"/>
      <c r="G29" s="108"/>
      <c r="H29" s="108"/>
      <c r="I29" s="36"/>
      <c r="J29" s="36"/>
      <c r="K29" s="36"/>
      <c r="L29" s="36"/>
      <c r="M29" s="36"/>
    </row>
    <row r="30" spans="1:13" x14ac:dyDescent="0.25">
      <c r="A30" s="105">
        <v>5</v>
      </c>
      <c r="B30" s="105" t="s">
        <v>345</v>
      </c>
      <c r="C30" s="105"/>
      <c r="D30" s="108">
        <f>'P&amp;L'!B35</f>
        <v>0</v>
      </c>
      <c r="E30" s="108">
        <f>'P&amp;L'!C35</f>
        <v>0.54383710500003013</v>
      </c>
      <c r="F30" s="108">
        <f>'P&amp;L'!D35</f>
        <v>2.1025747167187685</v>
      </c>
      <c r="G30" s="108">
        <f>'P&amp;L'!E35</f>
        <v>3.5829681408984331</v>
      </c>
      <c r="H30" s="108">
        <f>'P&amp;L'!F35</f>
        <v>5.083693117787174</v>
      </c>
      <c r="I30" s="108">
        <f>'P&amp;L'!G35</f>
        <v>7.0307197957702057</v>
      </c>
      <c r="J30" s="108">
        <f>'P&amp;L'!H35</f>
        <v>8.9121346932306409</v>
      </c>
      <c r="K30" s="108">
        <f>'P&amp;L'!I35</f>
        <v>10.284430511203809</v>
      </c>
      <c r="L30" s="108">
        <f>'P&amp;L'!J35</f>
        <v>12.619874578631258</v>
      </c>
      <c r="M30" s="108">
        <f>'P&amp;L'!K35</f>
        <v>15.2210913533563</v>
      </c>
    </row>
    <row r="31" spans="1:13" x14ac:dyDescent="0.25">
      <c r="A31" s="105">
        <v>6</v>
      </c>
      <c r="B31" s="105" t="s">
        <v>346</v>
      </c>
      <c r="C31" s="105"/>
      <c r="D31" s="106"/>
      <c r="E31" s="106"/>
      <c r="F31" s="106"/>
      <c r="G31" s="106"/>
      <c r="H31" s="106"/>
      <c r="I31" s="36"/>
      <c r="J31" s="36"/>
      <c r="K31" s="36"/>
      <c r="L31" s="36"/>
      <c r="M31" s="36"/>
    </row>
    <row r="32" spans="1:13" x14ac:dyDescent="0.25">
      <c r="A32" s="105"/>
      <c r="B32" s="105" t="s">
        <v>347</v>
      </c>
      <c r="C32" s="113">
        <f>SUM(C15:C31)</f>
        <v>91.35</v>
      </c>
      <c r="D32" s="113">
        <f>SUM(D15:D31)</f>
        <v>691.64958385833336</v>
      </c>
      <c r="E32" s="113">
        <f t="shared" ref="E32:J32" si="1">SUM(E15:E31)</f>
        <v>754.94332539666675</v>
      </c>
      <c r="F32" s="113">
        <f t="shared" si="1"/>
        <v>869.45282774432303</v>
      </c>
      <c r="G32" s="113">
        <f t="shared" si="1"/>
        <v>994.6668269420702</v>
      </c>
      <c r="H32" s="113">
        <f t="shared" si="1"/>
        <v>1130.226853355372</v>
      </c>
      <c r="I32" s="113">
        <f t="shared" si="1"/>
        <v>1277.4687003372132</v>
      </c>
      <c r="J32" s="113">
        <f t="shared" si="1"/>
        <v>1434.9228056898708</v>
      </c>
      <c r="K32" s="113">
        <f t="shared" ref="K32:M32" si="2">SUM(K15:K31)</f>
        <v>1498.2321333142384</v>
      </c>
      <c r="L32" s="113">
        <f t="shared" si="2"/>
        <v>1683.9631885278591</v>
      </c>
      <c r="M32" s="113">
        <f t="shared" si="2"/>
        <v>1876.6187502849416</v>
      </c>
    </row>
    <row r="33" spans="1:13" x14ac:dyDescent="0.25">
      <c r="A33" s="105"/>
      <c r="B33" s="105" t="s">
        <v>348</v>
      </c>
      <c r="C33" s="113">
        <f t="shared" ref="C33:J33" si="3">C12-C32</f>
        <v>5.7935575000000057</v>
      </c>
      <c r="D33" s="113">
        <f t="shared" si="3"/>
        <v>3.8059419749999961</v>
      </c>
      <c r="E33" s="113">
        <f t="shared" si="3"/>
        <v>9.5607321033332937</v>
      </c>
      <c r="F33" s="113">
        <f t="shared" si="3"/>
        <v>12.051813974427091</v>
      </c>
      <c r="G33" s="113">
        <f t="shared" si="3"/>
        <v>14.471827445950566</v>
      </c>
      <c r="H33" s="113">
        <f t="shared" si="3"/>
        <v>17.230449002049909</v>
      </c>
      <c r="I33" s="113">
        <f t="shared" si="3"/>
        <v>20.864870533913063</v>
      </c>
      <c r="J33" s="113">
        <f t="shared" si="3"/>
        <v>24.67630600606185</v>
      </c>
      <c r="K33" s="113">
        <f t="shared" ref="K33:M33" si="4">K12-K32</f>
        <v>28.129479810240809</v>
      </c>
      <c r="L33" s="113">
        <f t="shared" si="4"/>
        <v>32.202698950761032</v>
      </c>
      <c r="M33" s="113">
        <f t="shared" si="4"/>
        <v>37.829771869692649</v>
      </c>
    </row>
    <row r="34" spans="1:13" x14ac:dyDescent="0.25">
      <c r="A34" s="114"/>
      <c r="B34" s="111" t="s">
        <v>349</v>
      </c>
      <c r="C34" s="111"/>
      <c r="D34" s="108">
        <f>C35</f>
        <v>5.7935575000000057</v>
      </c>
      <c r="E34" s="108">
        <f>D35</f>
        <v>9.5994994750000018</v>
      </c>
      <c r="F34" s="108">
        <f t="shared" ref="F34:J34" si="5">E35</f>
        <v>19.160231578333295</v>
      </c>
      <c r="G34" s="108">
        <f t="shared" si="5"/>
        <v>31.212045552760387</v>
      </c>
      <c r="H34" s="108">
        <f t="shared" si="5"/>
        <v>45.683872998710953</v>
      </c>
      <c r="I34" s="108">
        <f t="shared" si="5"/>
        <v>62.914322000760862</v>
      </c>
      <c r="J34" s="108">
        <f t="shared" si="5"/>
        <v>83.779192534673925</v>
      </c>
      <c r="K34" s="108">
        <f t="shared" ref="K34" si="6">J35</f>
        <v>108.45549854073577</v>
      </c>
      <c r="L34" s="108">
        <f t="shared" ref="L34" si="7">K35</f>
        <v>136.5849783509766</v>
      </c>
      <c r="M34" s="108">
        <f t="shared" ref="M34" si="8">L35</f>
        <v>168.78767730173763</v>
      </c>
    </row>
    <row r="35" spans="1:13" x14ac:dyDescent="0.25">
      <c r="A35" s="105"/>
      <c r="B35" s="115" t="s">
        <v>350</v>
      </c>
      <c r="C35" s="113">
        <f>C33+C34</f>
        <v>5.7935575000000057</v>
      </c>
      <c r="D35" s="113">
        <f>D33+D34</f>
        <v>9.5994994750000018</v>
      </c>
      <c r="E35" s="113">
        <f t="shared" ref="E35:J35" si="9">E33+E34</f>
        <v>19.160231578333295</v>
      </c>
      <c r="F35" s="113">
        <f t="shared" si="9"/>
        <v>31.212045552760387</v>
      </c>
      <c r="G35" s="113">
        <f t="shared" si="9"/>
        <v>45.683872998710953</v>
      </c>
      <c r="H35" s="113">
        <f t="shared" si="9"/>
        <v>62.914322000760862</v>
      </c>
      <c r="I35" s="113">
        <f t="shared" si="9"/>
        <v>83.779192534673925</v>
      </c>
      <c r="J35" s="113">
        <f t="shared" si="9"/>
        <v>108.45549854073577</v>
      </c>
      <c r="K35" s="113">
        <f t="shared" ref="K35:M35" si="10">K33+K34</f>
        <v>136.5849783509766</v>
      </c>
      <c r="L35" s="113">
        <f t="shared" si="10"/>
        <v>168.78767730173763</v>
      </c>
      <c r="M35" s="113">
        <f t="shared" si="10"/>
        <v>206.61744917143028</v>
      </c>
    </row>
    <row r="37" spans="1:13" x14ac:dyDescent="0.25">
      <c r="C37" s="116">
        <f>BS!B47</f>
        <v>5.7935575000000057</v>
      </c>
      <c r="D37" s="116">
        <f>BS!C47</f>
        <v>9.5994994750000018</v>
      </c>
      <c r="E37" s="116">
        <f>BS!D47</f>
        <v>19.160231578333295</v>
      </c>
      <c r="F37" s="116">
        <f>BS!E47</f>
        <v>31.212045552760387</v>
      </c>
      <c r="G37" s="116">
        <f>BS!F47</f>
        <v>45.683872998710953</v>
      </c>
      <c r="H37" s="116">
        <f>BS!G47</f>
        <v>62.914322000760862</v>
      </c>
      <c r="I37" s="116">
        <f>BS!H47</f>
        <v>83.779192534673925</v>
      </c>
      <c r="J37" s="116">
        <f>BS!I47</f>
        <v>108.45549854073577</v>
      </c>
      <c r="K37" s="116">
        <f>BS!J47</f>
        <v>136.5849783509766</v>
      </c>
      <c r="L37" s="116">
        <f>BS!K47</f>
        <v>168.78767730173763</v>
      </c>
      <c r="M37" s="116">
        <f>BS!L47</f>
        <v>206.61744917143028</v>
      </c>
    </row>
    <row r="38" spans="1:13" x14ac:dyDescent="0.25">
      <c r="D38" s="116"/>
    </row>
    <row r="39" spans="1:13" x14ac:dyDescent="0.25">
      <c r="C39" s="116">
        <f>C35-C37</f>
        <v>0</v>
      </c>
      <c r="D39" s="116">
        <f>D35-D37</f>
        <v>0</v>
      </c>
      <c r="E39" s="116">
        <f t="shared" ref="E39:J39" si="11">E35-E37</f>
        <v>0</v>
      </c>
      <c r="F39" s="116">
        <f t="shared" si="11"/>
        <v>0</v>
      </c>
      <c r="G39" s="116">
        <f t="shared" si="11"/>
        <v>0</v>
      </c>
      <c r="H39" s="116">
        <f t="shared" si="11"/>
        <v>0</v>
      </c>
      <c r="I39" s="116">
        <f t="shared" si="11"/>
        <v>0</v>
      </c>
      <c r="J39" s="116">
        <f t="shared" si="11"/>
        <v>0</v>
      </c>
      <c r="K39" s="116">
        <f t="shared" ref="K39:M39" si="12">K35-K37</f>
        <v>0</v>
      </c>
      <c r="L39" s="116">
        <f t="shared" si="12"/>
        <v>0</v>
      </c>
      <c r="M39" s="116">
        <f t="shared" si="12"/>
        <v>0</v>
      </c>
    </row>
    <row r="40" spans="1:13" x14ac:dyDescent="0.25">
      <c r="D40" s="117"/>
      <c r="E40" s="116"/>
      <c r="F40" s="116"/>
      <c r="G40" s="116"/>
      <c r="H40" s="116"/>
      <c r="I40" s="116"/>
      <c r="J40" s="116"/>
    </row>
    <row r="41" spans="1:13" x14ac:dyDescent="0.25">
      <c r="D41" s="116"/>
      <c r="E41" s="116"/>
      <c r="F41" s="116"/>
      <c r="G41" s="116"/>
      <c r="H41" s="116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453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454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455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456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08"/>
      <c r="C1" s="308"/>
      <c r="D1" s="308"/>
      <c r="E1" s="308"/>
      <c r="F1" s="308"/>
      <c r="G1" s="308"/>
      <c r="H1" s="81"/>
      <c r="I1" s="81"/>
    </row>
    <row r="2" spans="1:9" ht="15.75" thickBot="1" x14ac:dyDescent="0.3"/>
    <row r="3" spans="1:9" ht="15.75" thickBot="1" x14ac:dyDescent="0.3">
      <c r="B3" s="309" t="s">
        <v>193</v>
      </c>
      <c r="C3" s="310"/>
      <c r="D3" s="310"/>
      <c r="E3" s="310"/>
      <c r="F3" s="310"/>
      <c r="G3" s="311"/>
    </row>
    <row r="4" spans="1:9" x14ac:dyDescent="0.25">
      <c r="B4" s="100"/>
      <c r="C4" s="100"/>
      <c r="D4" s="100"/>
      <c r="E4" s="100"/>
      <c r="F4" s="100"/>
      <c r="G4" s="100"/>
    </row>
    <row r="5" spans="1:9" x14ac:dyDescent="0.25">
      <c r="B5" s="100"/>
      <c r="C5" s="100" t="s">
        <v>194</v>
      </c>
      <c r="D5" s="101">
        <v>0.09</v>
      </c>
      <c r="E5" s="100"/>
      <c r="F5" s="100"/>
      <c r="G5" s="100"/>
    </row>
    <row r="6" spans="1:9" x14ac:dyDescent="0.25">
      <c r="B6" s="100"/>
      <c r="C6" s="100"/>
      <c r="D6" s="102"/>
      <c r="E6" s="100"/>
      <c r="F6" s="100"/>
      <c r="G6" s="100" t="s">
        <v>195</v>
      </c>
    </row>
    <row r="7" spans="1:9" x14ac:dyDescent="0.25">
      <c r="B7" s="15" t="s">
        <v>196</v>
      </c>
      <c r="C7" s="103" t="s">
        <v>45</v>
      </c>
      <c r="D7" s="103" t="s">
        <v>197</v>
      </c>
      <c r="E7" s="103" t="s">
        <v>198</v>
      </c>
      <c r="F7" s="103" t="s">
        <v>199</v>
      </c>
      <c r="G7" s="103" t="s">
        <v>200</v>
      </c>
    </row>
    <row r="8" spans="1:9" x14ac:dyDescent="0.25">
      <c r="A8" s="1" t="s">
        <v>201</v>
      </c>
      <c r="B8" s="6" t="s">
        <v>202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203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204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205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206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207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208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209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210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211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212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213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214</v>
      </c>
      <c r="B20" s="6" t="s">
        <v>215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216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217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218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219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220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221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222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223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224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225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226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227</v>
      </c>
      <c r="B32" s="6" t="s">
        <v>228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229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230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231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232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233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234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235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236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237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238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239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240</v>
      </c>
      <c r="B44" s="6" t="s">
        <v>241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242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243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244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245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246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247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248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249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250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251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252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253</v>
      </c>
      <c r="B56" s="6" t="s">
        <v>254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255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256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257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258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259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260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261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262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263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264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265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266</v>
      </c>
      <c r="B68" s="6" t="s">
        <v>267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268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269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270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271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272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273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274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275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276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277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278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291</v>
      </c>
      <c r="B80" s="6" t="s">
        <v>279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280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281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282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283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284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285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286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287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288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289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290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="85" zoomScaleNormal="100" zoomScaleSheetLayoutView="85" workbookViewId="0">
      <selection activeCell="A4" sqref="A4:K21"/>
    </sheetView>
  </sheetViews>
  <sheetFormatPr defaultRowHeight="15" x14ac:dyDescent="0.25"/>
  <cols>
    <col min="1" max="1" width="38.42578125" style="1" bestFit="1" customWidth="1"/>
    <col min="2" max="2" width="10.42578125" style="1" bestFit="1" customWidth="1"/>
    <col min="3" max="6" width="6.28515625" style="1" bestFit="1" customWidth="1"/>
    <col min="7" max="11" width="6.85546875" style="1" bestFit="1" customWidth="1"/>
    <col min="12" max="16384" width="9.140625" style="1"/>
  </cols>
  <sheetData>
    <row r="2" spans="1:11" x14ac:dyDescent="0.25">
      <c r="A2" s="308" t="s">
        <v>514</v>
      </c>
      <c r="B2" s="308"/>
      <c r="C2" s="308"/>
      <c r="D2" s="308"/>
      <c r="E2" s="308"/>
      <c r="F2" s="308"/>
      <c r="G2" s="308"/>
      <c r="H2" s="308"/>
    </row>
    <row r="4" spans="1:11" x14ac:dyDescent="0.25">
      <c r="A4" s="15" t="s">
        <v>501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502</v>
      </c>
      <c r="J4" s="15" t="s">
        <v>503</v>
      </c>
      <c r="K4" s="15" t="s">
        <v>504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505</v>
      </c>
      <c r="B6" s="232">
        <f>'P&amp;L'!B36</f>
        <v>5.9278594750000746</v>
      </c>
      <c r="C6" s="232">
        <f>'P&amp;L'!C36</f>
        <v>7.593438769999997</v>
      </c>
      <c r="D6" s="232">
        <f>'P&amp;L'!D36</f>
        <v>9.5660989223437927</v>
      </c>
      <c r="E6" s="232">
        <f>'P&amp;L'!E36</f>
        <v>12.192083057929677</v>
      </c>
      <c r="F6" s="232">
        <f>'P&amp;L'!F36</f>
        <v>14.960648311295071</v>
      </c>
      <c r="G6" s="232">
        <f>'P&amp;L'!G36</f>
        <v>18.854363829453394</v>
      </c>
      <c r="H6" s="232">
        <f>'P&amp;L'!H36</f>
        <v>22.668816810129307</v>
      </c>
      <c r="I6" s="232">
        <f>'P&amp;L'!I36</f>
        <v>25.360439185761365</v>
      </c>
      <c r="J6" s="232">
        <f>'P&amp;L'!J36</f>
        <v>30.356875638807541</v>
      </c>
      <c r="K6" s="232">
        <f>'P&amp;L'!K36</f>
        <v>36.024205548391613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515</v>
      </c>
      <c r="B8" s="232">
        <f>'P&amp;L'!B32</f>
        <v>3.2366399999999995</v>
      </c>
      <c r="C8" s="232">
        <f>'P&amp;L'!C32</f>
        <v>3.2366399999999995</v>
      </c>
      <c r="D8" s="232">
        <f>'P&amp;L'!D32</f>
        <v>3.2366399999999995</v>
      </c>
      <c r="E8" s="232">
        <f>'P&amp;L'!E32</f>
        <v>3.2366399999999995</v>
      </c>
      <c r="F8" s="232">
        <f>'P&amp;L'!F32</f>
        <v>3.2366399999999995</v>
      </c>
      <c r="G8" s="232">
        <f>'P&amp;L'!G32</f>
        <v>3.2366399999999995</v>
      </c>
      <c r="H8" s="232">
        <f>'P&amp;L'!H32</f>
        <v>3.2366399999999995</v>
      </c>
      <c r="I8" s="232">
        <f>'P&amp;L'!I32</f>
        <v>3.2366399999999995</v>
      </c>
      <c r="J8" s="232">
        <f>'P&amp;L'!J32</f>
        <v>3.2366399999999995</v>
      </c>
      <c r="K8" s="232">
        <f>'P&amp;L'!K32</f>
        <v>3.2366399999999995</v>
      </c>
    </row>
    <row r="9" spans="1:11" x14ac:dyDescent="0.25">
      <c r="A9" s="10" t="s">
        <v>516</v>
      </c>
      <c r="B9" s="232">
        <f>'P&amp;L'!B27</f>
        <v>0.43499999999999994</v>
      </c>
      <c r="C9" s="232">
        <f>'P&amp;L'!C27</f>
        <v>0.43499999999999994</v>
      </c>
      <c r="D9" s="232">
        <f>'P&amp;L'!D27</f>
        <v>0.43499999999999994</v>
      </c>
      <c r="E9" s="232">
        <f>'P&amp;L'!E27</f>
        <v>0.43499999999999994</v>
      </c>
      <c r="F9" s="232">
        <f>'P&amp;L'!F27</f>
        <v>0.43499999999999994</v>
      </c>
      <c r="G9" s="232">
        <f>'P&amp;L'!G27</f>
        <v>0.43499999999999994</v>
      </c>
      <c r="H9" s="232">
        <f>'P&amp;L'!H27</f>
        <v>0.43499999999999994</v>
      </c>
      <c r="I9" s="232">
        <f>'P&amp;L'!I27</f>
        <v>0.43499999999999994</v>
      </c>
      <c r="J9" s="232">
        <f>'P&amp;L'!J27</f>
        <v>0.43499999999999994</v>
      </c>
      <c r="K9" s="232">
        <f>'P&amp;L'!K27</f>
        <v>0.43499999999999994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507</v>
      </c>
      <c r="B11" s="232">
        <f>SUM(B6:B9)</f>
        <v>9.5994994750000746</v>
      </c>
      <c r="C11" s="232">
        <f t="shared" ref="C11:K11" si="0">SUM(C6:C9)</f>
        <v>11.265078769999997</v>
      </c>
      <c r="D11" s="232">
        <f t="shared" si="0"/>
        <v>13.237738922343793</v>
      </c>
      <c r="E11" s="232">
        <f t="shared" si="0"/>
        <v>15.863723057929677</v>
      </c>
      <c r="F11" s="232">
        <f t="shared" si="0"/>
        <v>18.632288311295067</v>
      </c>
      <c r="G11" s="232">
        <f t="shared" si="0"/>
        <v>22.526003829453391</v>
      </c>
      <c r="H11" s="232">
        <f t="shared" si="0"/>
        <v>26.340456810129307</v>
      </c>
      <c r="I11" s="232">
        <f t="shared" si="0"/>
        <v>29.032079185761365</v>
      </c>
      <c r="J11" s="232">
        <f t="shared" si="0"/>
        <v>34.028515638807541</v>
      </c>
      <c r="K11" s="232">
        <f t="shared" si="0"/>
        <v>39.695845548391617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517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518</v>
      </c>
      <c r="B15" s="19">
        <f>B11*B13</f>
        <v>8.7268177045455229</v>
      </c>
      <c r="C15" s="19">
        <f t="shared" ref="C15:K15" si="5">C11*C13</f>
        <v>9.3099824545454517</v>
      </c>
      <c r="D15" s="19">
        <f t="shared" si="5"/>
        <v>9.945709182827791</v>
      </c>
      <c r="E15" s="19">
        <f t="shared" si="5"/>
        <v>10.835136300751092</v>
      </c>
      <c r="F15" s="19">
        <f t="shared" si="5"/>
        <v>11.569185109868961</v>
      </c>
      <c r="G15" s="19">
        <f t="shared" si="5"/>
        <v>12.715341910017989</v>
      </c>
      <c r="H15" s="19">
        <f t="shared" si="5"/>
        <v>13.516819250023152</v>
      </c>
      <c r="I15" s="19">
        <f t="shared" si="5"/>
        <v>13.543679202991056</v>
      </c>
      <c r="J15" s="19">
        <f t="shared" si="5"/>
        <v>14.431412439169124</v>
      </c>
      <c r="K15" s="19">
        <f t="shared" si="5"/>
        <v>15.304466869413526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519</v>
      </c>
      <c r="B17" s="19">
        <f>SUM(B15:K15)</f>
        <v>119.89855042415367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520</v>
      </c>
      <c r="B19" s="45">
        <f>'Project Glance'!B15</f>
        <v>97.1435575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6" t="s">
        <v>522</v>
      </c>
      <c r="B21" s="201">
        <f>B17-B19</f>
        <v>22.754992924153669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523</v>
      </c>
      <c r="B23" s="45">
        <f>'Project Glance'!B23-'Project Glance'!B20</f>
        <v>42.333557500000005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6" t="s">
        <v>521</v>
      </c>
      <c r="B25" s="201">
        <f>B17-B23</f>
        <v>77.564992924153671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zoomScale="60" zoomScaleNormal="80" workbookViewId="0">
      <selection activeCell="K19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12" t="s">
        <v>500</v>
      </c>
      <c r="B1" s="312"/>
      <c r="C1" s="312"/>
      <c r="D1" s="312"/>
      <c r="E1" s="312"/>
      <c r="F1" s="312"/>
      <c r="G1" s="312"/>
      <c r="H1" s="312"/>
      <c r="I1" s="237"/>
      <c r="J1" s="237"/>
      <c r="K1" s="237"/>
    </row>
    <row r="2" spans="1:13" x14ac:dyDescent="0.25">
      <c r="A2" s="225"/>
      <c r="B2" s="225"/>
      <c r="C2" s="225"/>
      <c r="D2" s="225"/>
      <c r="E2" s="225"/>
      <c r="F2" s="225"/>
      <c r="G2" s="225"/>
    </row>
    <row r="3" spans="1:13" x14ac:dyDescent="0.25">
      <c r="A3" s="246" t="s">
        <v>501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502</v>
      </c>
      <c r="J3" s="46" t="s">
        <v>503</v>
      </c>
      <c r="K3" s="46" t="s">
        <v>504</v>
      </c>
    </row>
    <row r="4" spans="1:13" x14ac:dyDescent="0.25">
      <c r="A4" s="227"/>
      <c r="B4" s="227"/>
      <c r="C4" s="227"/>
      <c r="D4" s="227"/>
      <c r="E4" s="227"/>
      <c r="F4" s="227"/>
      <c r="G4" s="227"/>
      <c r="H4" s="6"/>
      <c r="I4" s="6"/>
      <c r="J4" s="6"/>
      <c r="K4" s="6"/>
    </row>
    <row r="5" spans="1:13" x14ac:dyDescent="0.25">
      <c r="A5" s="227" t="s">
        <v>505</v>
      </c>
      <c r="B5" s="228">
        <f>'P&amp;L'!B36</f>
        <v>5.9278594750000746</v>
      </c>
      <c r="C5" s="228">
        <f>'P&amp;L'!C36</f>
        <v>7.593438769999997</v>
      </c>
      <c r="D5" s="228">
        <f>'P&amp;L'!D36</f>
        <v>9.5660989223437927</v>
      </c>
      <c r="E5" s="228">
        <f>'P&amp;L'!E36</f>
        <v>12.192083057929677</v>
      </c>
      <c r="F5" s="228">
        <f>'P&amp;L'!F36</f>
        <v>14.960648311295071</v>
      </c>
      <c r="G5" s="228">
        <f>'P&amp;L'!G36</f>
        <v>18.854363829453394</v>
      </c>
      <c r="H5" s="228">
        <f>'P&amp;L'!H36</f>
        <v>22.668816810129307</v>
      </c>
      <c r="I5" s="228">
        <f>'P&amp;L'!I36</f>
        <v>25.360439185761365</v>
      </c>
      <c r="J5" s="228">
        <f>'P&amp;L'!J36</f>
        <v>30.356875638807541</v>
      </c>
      <c r="K5" s="228">
        <f>'P&amp;L'!K36</f>
        <v>36.024205548391613</v>
      </c>
      <c r="L5" s="226"/>
    </row>
    <row r="6" spans="1:13" x14ac:dyDescent="0.25">
      <c r="A6" s="227"/>
      <c r="B6" s="228"/>
      <c r="C6" s="228"/>
      <c r="D6" s="228"/>
      <c r="E6" s="228"/>
      <c r="F6" s="228"/>
      <c r="G6" s="227"/>
      <c r="H6" s="6"/>
      <c r="I6" s="6"/>
      <c r="J6" s="6"/>
      <c r="K6" s="6"/>
    </row>
    <row r="7" spans="1:13" x14ac:dyDescent="0.25">
      <c r="A7" s="229" t="s">
        <v>513</v>
      </c>
      <c r="B7" s="228">
        <f>'P&amp;L'!B32</f>
        <v>3.2366399999999995</v>
      </c>
      <c r="C7" s="228">
        <f>'P&amp;L'!C32</f>
        <v>3.2366399999999995</v>
      </c>
      <c r="D7" s="228">
        <f>'P&amp;L'!D32</f>
        <v>3.2366399999999995</v>
      </c>
      <c r="E7" s="228">
        <f>'P&amp;L'!E32</f>
        <v>3.2366399999999995</v>
      </c>
      <c r="F7" s="228">
        <f>'P&amp;L'!F32</f>
        <v>3.2366399999999995</v>
      </c>
      <c r="G7" s="228">
        <f>'P&amp;L'!G32</f>
        <v>3.2366399999999995</v>
      </c>
      <c r="H7" s="228">
        <f>'P&amp;L'!H32</f>
        <v>3.2366399999999995</v>
      </c>
      <c r="I7" s="228">
        <f>'P&amp;L'!I32</f>
        <v>3.2366399999999995</v>
      </c>
      <c r="J7" s="228">
        <f>'P&amp;L'!J32</f>
        <v>3.2366399999999995</v>
      </c>
      <c r="K7" s="228">
        <f>'P&amp;L'!K32</f>
        <v>3.2366399999999995</v>
      </c>
    </row>
    <row r="8" spans="1:13" x14ac:dyDescent="0.25">
      <c r="A8" s="227" t="s">
        <v>506</v>
      </c>
      <c r="B8" s="230">
        <f>'P&amp;L'!B27</f>
        <v>0.43499999999999994</v>
      </c>
      <c r="C8" s="230">
        <f>'P&amp;L'!C27</f>
        <v>0.43499999999999994</v>
      </c>
      <c r="D8" s="230">
        <f>'P&amp;L'!D27</f>
        <v>0.43499999999999994</v>
      </c>
      <c r="E8" s="230">
        <f>'P&amp;L'!E27</f>
        <v>0.43499999999999994</v>
      </c>
      <c r="F8" s="230">
        <f>'P&amp;L'!F27</f>
        <v>0.43499999999999994</v>
      </c>
      <c r="G8" s="230">
        <f>'P&amp;L'!G27</f>
        <v>0.43499999999999994</v>
      </c>
      <c r="H8" s="230">
        <f>'P&amp;L'!H27</f>
        <v>0.43499999999999994</v>
      </c>
      <c r="I8" s="230">
        <f>'P&amp;L'!I27</f>
        <v>0.43499999999999994</v>
      </c>
      <c r="J8" s="230">
        <f>'P&amp;L'!J27</f>
        <v>0.43499999999999994</v>
      </c>
      <c r="K8" s="230">
        <f>'P&amp;L'!K27</f>
        <v>0.43499999999999994</v>
      </c>
    </row>
    <row r="9" spans="1:13" x14ac:dyDescent="0.25">
      <c r="A9" s="227"/>
      <c r="B9" s="227"/>
      <c r="C9" s="227"/>
      <c r="D9" s="227"/>
      <c r="E9" s="227"/>
      <c r="F9" s="227"/>
      <c r="G9" s="227"/>
      <c r="H9" s="6"/>
      <c r="I9" s="6"/>
      <c r="J9" s="6"/>
      <c r="K9" s="6"/>
    </row>
    <row r="10" spans="1:13" x14ac:dyDescent="0.25">
      <c r="A10" s="227" t="s">
        <v>507</v>
      </c>
      <c r="B10" s="228">
        <f>SUM(B5:B8)</f>
        <v>9.5994994750000746</v>
      </c>
      <c r="C10" s="228">
        <f t="shared" ref="C10:K10" si="0">SUM(C5:C8)</f>
        <v>11.265078769999997</v>
      </c>
      <c r="D10" s="228">
        <f t="shared" si="0"/>
        <v>13.237738922343793</v>
      </c>
      <c r="E10" s="228">
        <f t="shared" si="0"/>
        <v>15.863723057929677</v>
      </c>
      <c r="F10" s="228">
        <f t="shared" si="0"/>
        <v>18.632288311295067</v>
      </c>
      <c r="G10" s="228">
        <f t="shared" si="0"/>
        <v>22.526003829453391</v>
      </c>
      <c r="H10" s="228">
        <f t="shared" si="0"/>
        <v>26.340456810129307</v>
      </c>
      <c r="I10" s="228">
        <f t="shared" si="0"/>
        <v>29.032079185761365</v>
      </c>
      <c r="J10" s="228">
        <f t="shared" si="0"/>
        <v>34.028515638807541</v>
      </c>
      <c r="K10" s="228">
        <f t="shared" si="0"/>
        <v>39.695845548391617</v>
      </c>
    </row>
    <row r="11" spans="1:13" x14ac:dyDescent="0.25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3" x14ac:dyDescent="0.25">
      <c r="A12" s="231" t="s">
        <v>642</v>
      </c>
      <c r="B12" s="72">
        <f>1/M12</f>
        <v>0.87704680798814227</v>
      </c>
      <c r="C12" s="232">
        <f t="shared" ref="C12:H12" si="1">B12/$M$12</f>
        <v>0.76921110340218934</v>
      </c>
      <c r="D12" s="232">
        <f t="shared" si="1"/>
        <v>0.674634142907927</v>
      </c>
      <c r="E12" s="232">
        <f t="shared" si="1"/>
        <v>0.59168572159721355</v>
      </c>
      <c r="F12" s="232">
        <f t="shared" si="1"/>
        <v>0.51893607345899673</v>
      </c>
      <c r="G12" s="232">
        <f t="shared" si="1"/>
        <v>0.45513122677711321</v>
      </c>
      <c r="H12" s="232">
        <f t="shared" si="1"/>
        <v>0.39917138966059446</v>
      </c>
      <c r="I12" s="232">
        <f t="shared" ref="I12:K12" si="2">H12/$M$12</f>
        <v>0.35009199314201533</v>
      </c>
      <c r="J12" s="232">
        <f t="shared" si="2"/>
        <v>0.30704706508741114</v>
      </c>
      <c r="K12" s="232">
        <f t="shared" si="2"/>
        <v>0.26929464833704131</v>
      </c>
      <c r="M12" s="1">
        <v>1.14019</v>
      </c>
    </row>
    <row r="13" spans="1:13" x14ac:dyDescent="0.25">
      <c r="A13" s="227" t="s">
        <v>508</v>
      </c>
      <c r="B13" s="228">
        <f t="shared" ref="B13:H13" si="3">B10*B12</f>
        <v>8.4192103728326622</v>
      </c>
      <c r="C13" s="228">
        <f t="shared" si="3"/>
        <v>8.6652236705842753</v>
      </c>
      <c r="D13" s="228">
        <f t="shared" si="3"/>
        <v>8.9306306519143099</v>
      </c>
      <c r="E13" s="228">
        <f>E10*E12</f>
        <v>9.3863384247494768</v>
      </c>
      <c r="F13" s="228">
        <f t="shared" si="3"/>
        <v>9.6689665358194237</v>
      </c>
      <c r="G13" s="228">
        <f t="shared" si="3"/>
        <v>10.252287757285071</v>
      </c>
      <c r="H13" s="228">
        <f t="shared" si="3"/>
        <v>10.514356749194185</v>
      </c>
      <c r="I13" s="228">
        <f t="shared" ref="I13:K13" si="4">I10*I12</f>
        <v>10.163898467200013</v>
      </c>
      <c r="J13" s="228">
        <f t="shared" si="4"/>
        <v>10.448355856176926</v>
      </c>
      <c r="K13" s="228">
        <f t="shared" si="4"/>
        <v>10.689878767395626</v>
      </c>
    </row>
    <row r="14" spans="1:13" x14ac:dyDescent="0.25">
      <c r="A14" s="227" t="s">
        <v>509</v>
      </c>
      <c r="B14" s="313">
        <f>SUM(B13:K13)</f>
        <v>97.139147253151975</v>
      </c>
      <c r="C14" s="314"/>
      <c r="D14" s="314"/>
      <c r="E14" s="314"/>
      <c r="F14" s="314"/>
      <c r="G14" s="314"/>
      <c r="H14" s="314"/>
      <c r="I14" s="314"/>
      <c r="J14" s="314"/>
      <c r="K14" s="315"/>
    </row>
    <row r="15" spans="1:13" x14ac:dyDescent="0.25">
      <c r="A15" s="227"/>
      <c r="B15" s="228"/>
      <c r="C15" s="228"/>
      <c r="D15" s="228"/>
      <c r="E15" s="228"/>
      <c r="F15" s="228"/>
      <c r="G15" s="227"/>
      <c r="H15" s="6"/>
      <c r="I15" s="6"/>
      <c r="J15" s="6"/>
      <c r="K15" s="6"/>
    </row>
    <row r="16" spans="1:13" x14ac:dyDescent="0.25">
      <c r="A16" s="227" t="s">
        <v>510</v>
      </c>
      <c r="B16" s="313">
        <f>'Project Glance'!B15</f>
        <v>97.1435575</v>
      </c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9" t="s">
        <v>511</v>
      </c>
      <c r="B19" s="199">
        <f>(M12*100)-100</f>
        <v>14.019000000000005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31" t="s">
        <v>643</v>
      </c>
      <c r="B22" s="72">
        <f>1/M22</f>
        <v>0.6772727580578527</v>
      </c>
      <c r="C22" s="232">
        <f t="shared" ref="C22:H22" si="5">B22/$M$22</f>
        <v>0.45869838880729064</v>
      </c>
      <c r="D22" s="232">
        <f t="shared" si="5"/>
        <v>0.31066392290420697</v>
      </c>
      <c r="E22" s="232">
        <f t="shared" si="5"/>
        <v>0.21040421189440436</v>
      </c>
      <c r="F22" s="232">
        <f t="shared" si="5"/>
        <v>0.14250104089671209</v>
      </c>
      <c r="G22" s="232">
        <f t="shared" si="5"/>
        <v>9.6512072994231049E-2</v>
      </c>
      <c r="H22" s="232">
        <f t="shared" si="5"/>
        <v>6.5364997862683655E-2</v>
      </c>
      <c r="I22" s="232">
        <f t="shared" ref="I22:K22" si="6">H22/$M$22</f>
        <v>4.42699323829054E-2</v>
      </c>
      <c r="J22" s="232">
        <f t="shared" si="6"/>
        <v>2.9982819204004984E-2</v>
      </c>
      <c r="K22" s="232">
        <f t="shared" si="6"/>
        <v>2.0306546656646406E-2</v>
      </c>
      <c r="M22" s="1">
        <v>1.47651</v>
      </c>
    </row>
    <row r="23" spans="1:13" x14ac:dyDescent="0.25">
      <c r="A23" s="227" t="s">
        <v>508</v>
      </c>
      <c r="B23" s="228">
        <f>ROUND(B10*B22,2)</f>
        <v>6.5</v>
      </c>
      <c r="C23" s="228">
        <f t="shared" ref="C23:H23" si="7">ROUND(C10*C22,2)</f>
        <v>5.17</v>
      </c>
      <c r="D23" s="228">
        <f t="shared" si="7"/>
        <v>4.1100000000000003</v>
      </c>
      <c r="E23" s="228">
        <f t="shared" si="7"/>
        <v>3.34</v>
      </c>
      <c r="F23" s="228">
        <f t="shared" si="7"/>
        <v>2.66</v>
      </c>
      <c r="G23" s="228">
        <f t="shared" si="7"/>
        <v>2.17</v>
      </c>
      <c r="H23" s="228">
        <f t="shared" si="7"/>
        <v>1.72</v>
      </c>
      <c r="I23" s="228">
        <f t="shared" ref="I23:K23" si="8">ROUND(I10*I22,2)</f>
        <v>1.29</v>
      </c>
      <c r="J23" s="228">
        <f t="shared" si="8"/>
        <v>1.02</v>
      </c>
      <c r="K23" s="228">
        <f t="shared" si="8"/>
        <v>0.81</v>
      </c>
    </row>
    <row r="24" spans="1:13" x14ac:dyDescent="0.25">
      <c r="A24" s="227" t="s">
        <v>509</v>
      </c>
      <c r="B24" s="313">
        <f>SUM(B23:K23)</f>
        <v>28.79</v>
      </c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3" x14ac:dyDescent="0.25">
      <c r="A25" s="227"/>
      <c r="B25" s="228"/>
      <c r="C25" s="228"/>
      <c r="D25" s="228"/>
      <c r="E25" s="228"/>
      <c r="F25" s="228"/>
      <c r="G25" s="227"/>
      <c r="H25" s="6"/>
      <c r="I25" s="6"/>
      <c r="J25" s="6"/>
      <c r="K25" s="6"/>
    </row>
    <row r="26" spans="1:13" x14ac:dyDescent="0.25">
      <c r="A26" s="227" t="s">
        <v>527</v>
      </c>
      <c r="B26" s="313">
        <f>'Project Glance'!B23-'Project Glance'!B20</f>
        <v>42.333557500000005</v>
      </c>
      <c r="C26" s="314"/>
      <c r="D26" s="314"/>
      <c r="E26" s="314"/>
      <c r="F26" s="314"/>
      <c r="G26" s="314"/>
      <c r="H26" s="314"/>
      <c r="I26" s="314"/>
      <c r="J26" s="314"/>
      <c r="K26" s="315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9" t="s">
        <v>512</v>
      </c>
      <c r="B28" s="199">
        <f>ROUND(M22*100,2)-100</f>
        <v>47.650000000000006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1" style="1" customWidth="1"/>
    <col min="2" max="16384" width="9.140625" style="1"/>
  </cols>
  <sheetData>
    <row r="2" spans="1:15" x14ac:dyDescent="0.25">
      <c r="A2" s="308" t="s">
        <v>524</v>
      </c>
      <c r="B2" s="308"/>
      <c r="C2" s="308"/>
      <c r="D2" s="308"/>
      <c r="E2" s="308"/>
      <c r="F2" s="308"/>
      <c r="G2" s="308"/>
      <c r="H2" s="308"/>
      <c r="I2" s="223"/>
      <c r="J2" s="223"/>
      <c r="K2" s="223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502</v>
      </c>
      <c r="J4" s="46" t="s">
        <v>503</v>
      </c>
      <c r="K4" s="46" t="s">
        <v>504</v>
      </c>
    </row>
    <row r="5" spans="1:15" x14ac:dyDescent="0.25">
      <c r="A5" s="234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x14ac:dyDescent="0.25">
      <c r="A6" s="6" t="s">
        <v>353</v>
      </c>
      <c r="B6" s="19">
        <f>'P&amp;L'!B36</f>
        <v>5.9278594750000746</v>
      </c>
      <c r="C6" s="19">
        <f>'P&amp;L'!C36</f>
        <v>7.593438769999997</v>
      </c>
      <c r="D6" s="19">
        <f>'P&amp;L'!D36</f>
        <v>9.5660989223437927</v>
      </c>
      <c r="E6" s="19">
        <f>'P&amp;L'!E36</f>
        <v>12.192083057929677</v>
      </c>
      <c r="F6" s="19">
        <f>'P&amp;L'!F36</f>
        <v>14.960648311295071</v>
      </c>
      <c r="G6" s="19">
        <f>'P&amp;L'!G36</f>
        <v>18.854363829453394</v>
      </c>
      <c r="H6" s="19">
        <f>'P&amp;L'!H36</f>
        <v>22.668816810129307</v>
      </c>
      <c r="I6" s="19">
        <f>'P&amp;L'!I36</f>
        <v>25.360439185761365</v>
      </c>
      <c r="J6" s="19">
        <f>'P&amp;L'!J36</f>
        <v>30.356875638807541</v>
      </c>
      <c r="K6" s="19">
        <f>'P&amp;L'!K36</f>
        <v>36.024205548391613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525</v>
      </c>
      <c r="B8" s="319">
        <f>SUM(B6:K6)/10</f>
        <v>18.350482954911186</v>
      </c>
      <c r="C8" s="320"/>
      <c r="D8" s="320"/>
      <c r="E8" s="320"/>
      <c r="F8" s="320"/>
      <c r="G8" s="320"/>
      <c r="H8" s="320"/>
      <c r="I8" s="320"/>
      <c r="J8" s="320"/>
      <c r="K8" s="321"/>
    </row>
    <row r="9" spans="1:15" x14ac:dyDescent="0.25">
      <c r="A9" s="6" t="s">
        <v>526</v>
      </c>
      <c r="B9" s="319">
        <f>'Project Glance'!B23</f>
        <v>97.1435575</v>
      </c>
      <c r="C9" s="320"/>
      <c r="D9" s="320"/>
      <c r="E9" s="320"/>
      <c r="F9" s="320"/>
      <c r="G9" s="320"/>
      <c r="H9" s="320"/>
      <c r="I9" s="320"/>
      <c r="J9" s="320"/>
      <c r="K9" s="321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5" t="s">
        <v>528</v>
      </c>
      <c r="B11" s="322">
        <f>B8/B9*100</f>
        <v>18.890066852772183</v>
      </c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5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529</v>
      </c>
      <c r="B13" s="319">
        <f>'Project Glance'!B23-'Project Glance'!B20</f>
        <v>42.333557500000005</v>
      </c>
      <c r="C13" s="320"/>
      <c r="D13" s="320"/>
      <c r="E13" s="320"/>
      <c r="F13" s="320"/>
      <c r="G13" s="320"/>
      <c r="H13" s="320"/>
      <c r="I13" s="320"/>
      <c r="J13" s="320"/>
      <c r="K13" s="321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5" t="s">
        <v>530</v>
      </c>
      <c r="B15" s="322">
        <f>(B8/B13)*100</f>
        <v>43.347367995026602</v>
      </c>
      <c r="C15" s="323"/>
      <c r="D15" s="323"/>
      <c r="E15" s="323"/>
      <c r="F15" s="323"/>
      <c r="G15" s="323"/>
      <c r="H15" s="323"/>
      <c r="I15" s="323"/>
      <c r="J15" s="323"/>
      <c r="K15" s="324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97.1435575</v>
      </c>
      <c r="O16" s="13">
        <f>B13</f>
        <v>42.333557500000005</v>
      </c>
    </row>
    <row r="17" spans="1:15" s="3" customFormat="1" x14ac:dyDescent="0.25">
      <c r="A17" s="199" t="s">
        <v>531</v>
      </c>
      <c r="B17" s="316" t="s">
        <v>652</v>
      </c>
      <c r="C17" s="317"/>
      <c r="D17" s="317"/>
      <c r="E17" s="317"/>
      <c r="F17" s="317"/>
      <c r="G17" s="317"/>
      <c r="H17" s="317"/>
      <c r="I17" s="317"/>
      <c r="J17" s="317"/>
      <c r="K17" s="318"/>
      <c r="M17" s="235">
        <f>SUM(B6:H6)</f>
        <v>91.763309176151324</v>
      </c>
      <c r="O17" s="235">
        <f>SUM(B6:E6)</f>
        <v>35.279480225273545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5.3802483238486758</v>
      </c>
      <c r="O18" s="13">
        <f>O16-O17</f>
        <v>7.0540772747264597</v>
      </c>
    </row>
    <row r="19" spans="1:15" x14ac:dyDescent="0.25">
      <c r="A19" s="199" t="s">
        <v>532</v>
      </c>
      <c r="B19" s="316" t="s">
        <v>655</v>
      </c>
      <c r="C19" s="317"/>
      <c r="D19" s="317"/>
      <c r="E19" s="317"/>
      <c r="F19" s="317"/>
      <c r="G19" s="317"/>
      <c r="H19" s="317"/>
      <c r="I19" s="317"/>
      <c r="J19" s="317"/>
      <c r="K19" s="318"/>
      <c r="M19" s="1">
        <f>M18*12/I6</f>
        <v>2.5458147397712669</v>
      </c>
      <c r="O19" s="1">
        <f>O18*12/F6</f>
        <v>5.6581055536750249</v>
      </c>
    </row>
    <row r="21" spans="1:15" x14ac:dyDescent="0.25">
      <c r="M21" s="1" t="s">
        <v>629</v>
      </c>
      <c r="O21" s="1" t="s">
        <v>628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A19" sqref="A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6" t="s">
        <v>533</v>
      </c>
      <c r="B2" s="236"/>
      <c r="C2" s="236"/>
      <c r="D2" s="236"/>
      <c r="E2" s="236"/>
      <c r="F2" s="236"/>
    </row>
    <row r="3" spans="1:7" x14ac:dyDescent="0.25">
      <c r="A3" s="237"/>
      <c r="B3" s="237"/>
      <c r="C3" s="237"/>
      <c r="D3" s="237"/>
      <c r="E3" s="237"/>
      <c r="F3" s="237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4"/>
      <c r="B5" s="238"/>
      <c r="C5" s="238"/>
      <c r="D5" s="238"/>
      <c r="E5" s="238"/>
      <c r="F5" s="238"/>
      <c r="G5" s="6"/>
    </row>
    <row r="6" spans="1:7" x14ac:dyDescent="0.25">
      <c r="A6" s="239" t="s">
        <v>534</v>
      </c>
      <c r="B6" s="227"/>
      <c r="C6" s="227"/>
      <c r="D6" s="227"/>
      <c r="E6" s="227"/>
      <c r="F6" s="227"/>
      <c r="G6" s="6"/>
    </row>
    <row r="7" spans="1:7" x14ac:dyDescent="0.25">
      <c r="A7" s="234" t="s">
        <v>327</v>
      </c>
      <c r="B7" s="228">
        <f>BS!C20</f>
        <v>0</v>
      </c>
      <c r="C7" s="228">
        <f>BS!D20</f>
        <v>0</v>
      </c>
      <c r="D7" s="228">
        <f>BS!E20</f>
        <v>0</v>
      </c>
      <c r="E7" s="228">
        <f>BS!F20</f>
        <v>0</v>
      </c>
      <c r="F7" s="228">
        <f>BS!G20</f>
        <v>0</v>
      </c>
      <c r="G7" s="228">
        <f>BS!H20</f>
        <v>0</v>
      </c>
    </row>
    <row r="8" spans="1:7" x14ac:dyDescent="0.25">
      <c r="A8" s="227"/>
      <c r="B8" s="228"/>
      <c r="C8" s="228"/>
      <c r="D8" s="228"/>
      <c r="E8" s="228"/>
      <c r="F8" s="228"/>
      <c r="G8" s="6"/>
    </row>
    <row r="9" spans="1:7" x14ac:dyDescent="0.25">
      <c r="A9" s="227" t="s">
        <v>535</v>
      </c>
      <c r="B9" s="228">
        <f>SUM(B7:B8)</f>
        <v>0</v>
      </c>
      <c r="C9" s="228">
        <f t="shared" ref="C9:F9" si="0">SUM(C7:C8)</f>
        <v>0</v>
      </c>
      <c r="D9" s="228">
        <f t="shared" si="0"/>
        <v>0</v>
      </c>
      <c r="E9" s="228">
        <f t="shared" si="0"/>
        <v>0</v>
      </c>
      <c r="F9" s="228">
        <f t="shared" si="0"/>
        <v>0</v>
      </c>
      <c r="G9" s="228">
        <f>SUM(G7:G8)</f>
        <v>0</v>
      </c>
    </row>
    <row r="10" spans="1:7" x14ac:dyDescent="0.25">
      <c r="A10" s="227"/>
      <c r="B10" s="227"/>
      <c r="C10" s="227"/>
      <c r="D10" s="227"/>
      <c r="E10" s="227"/>
      <c r="F10" s="227"/>
      <c r="G10" s="6"/>
    </row>
    <row r="11" spans="1:7" x14ac:dyDescent="0.25">
      <c r="A11" s="239" t="s">
        <v>536</v>
      </c>
      <c r="B11" s="227"/>
      <c r="C11" s="227"/>
      <c r="D11" s="227"/>
      <c r="E11" s="227"/>
      <c r="F11" s="227"/>
      <c r="G11" s="6"/>
    </row>
    <row r="12" spans="1:7" x14ac:dyDescent="0.25">
      <c r="A12" s="227" t="s">
        <v>537</v>
      </c>
      <c r="B12" s="227"/>
      <c r="C12" s="227"/>
      <c r="D12" s="227"/>
      <c r="E12" s="227"/>
      <c r="F12" s="227"/>
      <c r="G12" s="6"/>
    </row>
    <row r="13" spans="1:7" x14ac:dyDescent="0.25">
      <c r="A13" s="234" t="s">
        <v>538</v>
      </c>
      <c r="B13" s="228">
        <f>BS!C9</f>
        <v>42.333557500000005</v>
      </c>
      <c r="C13" s="228">
        <f>BS!D9</f>
        <v>42.333557500000005</v>
      </c>
      <c r="D13" s="228">
        <f>BS!E9</f>
        <v>42.333557500000005</v>
      </c>
      <c r="E13" s="228">
        <f>BS!F9</f>
        <v>42.333557500000005</v>
      </c>
      <c r="F13" s="228">
        <f>BS!G9</f>
        <v>42.333557500000005</v>
      </c>
      <c r="G13" s="228">
        <f>BS!H9</f>
        <v>42.333557500000005</v>
      </c>
    </row>
    <row r="14" spans="1:7" x14ac:dyDescent="0.25">
      <c r="A14" s="234" t="s">
        <v>539</v>
      </c>
      <c r="B14" s="228">
        <f>BS!C13+BS!C19</f>
        <v>60.737859475000072</v>
      </c>
      <c r="C14" s="228">
        <f>BS!D13+BS!D19</f>
        <v>68.33129824500007</v>
      </c>
      <c r="D14" s="228">
        <f>BS!E13+BS!E19</f>
        <v>77.897397167343854</v>
      </c>
      <c r="E14" s="228">
        <f>BS!F13+BS!F19</f>
        <v>90.089480225273547</v>
      </c>
      <c r="F14" s="228">
        <f>BS!G13+BS!G19</f>
        <v>105.05012853656862</v>
      </c>
      <c r="G14" s="228">
        <f>BS!H13+BS!H19</f>
        <v>123.904492366022</v>
      </c>
    </row>
    <row r="15" spans="1:7" x14ac:dyDescent="0.25">
      <c r="A15" s="227"/>
      <c r="B15" s="228"/>
      <c r="C15" s="228"/>
      <c r="D15" s="228"/>
      <c r="E15" s="228"/>
      <c r="F15" s="228"/>
      <c r="G15" s="6"/>
    </row>
    <row r="16" spans="1:7" x14ac:dyDescent="0.25">
      <c r="A16" s="227" t="s">
        <v>535</v>
      </c>
      <c r="B16" s="228">
        <f>SUM(B13:B15)</f>
        <v>103.07141697500008</v>
      </c>
      <c r="C16" s="228">
        <f t="shared" ref="C16:G16" si="1">SUM(C13:C15)</f>
        <v>110.66485574500007</v>
      </c>
      <c r="D16" s="228">
        <f t="shared" si="1"/>
        <v>120.23095466734387</v>
      </c>
      <c r="E16" s="228">
        <f t="shared" si="1"/>
        <v>132.42303772527356</v>
      </c>
      <c r="F16" s="228">
        <f t="shared" si="1"/>
        <v>147.38368603656863</v>
      </c>
      <c r="G16" s="228">
        <f t="shared" si="1"/>
        <v>166.23804986602201</v>
      </c>
    </row>
    <row r="17" spans="1:7" x14ac:dyDescent="0.25">
      <c r="A17" s="227"/>
      <c r="B17" s="227"/>
      <c r="C17" s="227"/>
      <c r="D17" s="227"/>
      <c r="E17" s="227"/>
      <c r="F17" s="227"/>
      <c r="G17" s="6"/>
    </row>
    <row r="18" spans="1:7" x14ac:dyDescent="0.25">
      <c r="A18" s="240" t="s">
        <v>540</v>
      </c>
      <c r="B18" s="230">
        <f>B9/B16</f>
        <v>0</v>
      </c>
      <c r="C18" s="230">
        <f t="shared" ref="C18:G18" si="2">C9/C16</f>
        <v>0</v>
      </c>
      <c r="D18" s="230">
        <f t="shared" si="2"/>
        <v>0</v>
      </c>
      <c r="E18" s="230">
        <f t="shared" si="2"/>
        <v>0</v>
      </c>
      <c r="F18" s="230">
        <f t="shared" si="2"/>
        <v>0</v>
      </c>
      <c r="G18" s="230">
        <f t="shared" si="2"/>
        <v>0</v>
      </c>
    </row>
    <row r="19" spans="1:7" s="3" customFormat="1" x14ac:dyDescent="0.25">
      <c r="A19" s="244" t="s">
        <v>553</v>
      </c>
      <c r="B19" s="325">
        <f>SUM(B18:F18)/6</f>
        <v>0</v>
      </c>
      <c r="C19" s="326"/>
      <c r="D19" s="326"/>
      <c r="E19" s="326"/>
      <c r="F19" s="326"/>
      <c r="G19" s="327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40"/>
      <c r="B21" s="45"/>
      <c r="C21" s="6"/>
      <c r="D21" s="6"/>
      <c r="E21" s="6"/>
      <c r="F21" s="6"/>
      <c r="G21" s="6"/>
    </row>
    <row r="22" spans="1:7" x14ac:dyDescent="0.25">
      <c r="A22" s="239" t="s">
        <v>534</v>
      </c>
      <c r="B22" s="227"/>
      <c r="C22" s="227"/>
      <c r="D22" s="227"/>
      <c r="E22" s="227"/>
      <c r="F22" s="227"/>
      <c r="G22" s="6"/>
    </row>
    <row r="23" spans="1:7" x14ac:dyDescent="0.25">
      <c r="A23" s="234" t="s">
        <v>327</v>
      </c>
      <c r="B23" s="228">
        <f>B7</f>
        <v>0</v>
      </c>
      <c r="C23" s="228">
        <f t="shared" ref="C23:G23" si="3">C7</f>
        <v>0</v>
      </c>
      <c r="D23" s="228">
        <f t="shared" si="3"/>
        <v>0</v>
      </c>
      <c r="E23" s="228">
        <f t="shared" si="3"/>
        <v>0</v>
      </c>
      <c r="F23" s="228">
        <f t="shared" si="3"/>
        <v>0</v>
      </c>
      <c r="G23" s="228">
        <f t="shared" si="3"/>
        <v>0</v>
      </c>
    </row>
    <row r="24" spans="1:7" x14ac:dyDescent="0.25">
      <c r="A24" s="227"/>
      <c r="B24" s="228"/>
      <c r="C24" s="228"/>
      <c r="D24" s="228"/>
      <c r="E24" s="228"/>
      <c r="F24" s="228"/>
      <c r="G24" s="6"/>
    </row>
    <row r="25" spans="1:7" x14ac:dyDescent="0.25">
      <c r="A25" s="227" t="s">
        <v>535</v>
      </c>
      <c r="B25" s="228">
        <f>SUM(B23:B24)</f>
        <v>0</v>
      </c>
      <c r="C25" s="228">
        <f t="shared" ref="C25:G25" si="4">SUM(C23:C24)</f>
        <v>0</v>
      </c>
      <c r="D25" s="228">
        <f t="shared" si="4"/>
        <v>0</v>
      </c>
      <c r="E25" s="228">
        <f t="shared" si="4"/>
        <v>0</v>
      </c>
      <c r="F25" s="228">
        <f t="shared" si="4"/>
        <v>0</v>
      </c>
      <c r="G25" s="228">
        <f t="shared" si="4"/>
        <v>0</v>
      </c>
    </row>
    <row r="26" spans="1:7" x14ac:dyDescent="0.25">
      <c r="A26" s="227"/>
      <c r="B26" s="227"/>
      <c r="C26" s="227"/>
      <c r="D26" s="227"/>
      <c r="E26" s="227"/>
      <c r="F26" s="227"/>
      <c r="G26" s="6"/>
    </row>
    <row r="27" spans="1:7" x14ac:dyDescent="0.25">
      <c r="A27" s="239" t="s">
        <v>536</v>
      </c>
      <c r="B27" s="227"/>
      <c r="C27" s="227"/>
      <c r="D27" s="227"/>
      <c r="E27" s="227"/>
      <c r="F27" s="227"/>
      <c r="G27" s="6"/>
    </row>
    <row r="28" spans="1:7" x14ac:dyDescent="0.25">
      <c r="A28" s="227" t="s">
        <v>537</v>
      </c>
      <c r="B28" s="227"/>
      <c r="C28" s="227"/>
      <c r="D28" s="227"/>
      <c r="E28" s="227"/>
      <c r="F28" s="227"/>
      <c r="G28" s="6"/>
    </row>
    <row r="29" spans="1:7" x14ac:dyDescent="0.25">
      <c r="A29" s="234" t="s">
        <v>538</v>
      </c>
      <c r="B29" s="228">
        <f>B13</f>
        <v>42.333557500000005</v>
      </c>
      <c r="C29" s="228">
        <f t="shared" ref="C29:G29" si="5">C13</f>
        <v>42.333557500000005</v>
      </c>
      <c r="D29" s="228">
        <f t="shared" si="5"/>
        <v>42.333557500000005</v>
      </c>
      <c r="E29" s="228">
        <f t="shared" si="5"/>
        <v>42.333557500000005</v>
      </c>
      <c r="F29" s="228">
        <f t="shared" si="5"/>
        <v>42.333557500000005</v>
      </c>
      <c r="G29" s="228">
        <f t="shared" si="5"/>
        <v>42.333557500000005</v>
      </c>
    </row>
    <row r="30" spans="1:7" x14ac:dyDescent="0.25">
      <c r="A30" s="234" t="s">
        <v>541</v>
      </c>
      <c r="B30" s="228">
        <f>BS!C19</f>
        <v>5.9278594750000746</v>
      </c>
      <c r="C30" s="228">
        <f>BS!D19</f>
        <v>13.521298245000072</v>
      </c>
      <c r="D30" s="228">
        <f>BS!E19</f>
        <v>23.087397167343866</v>
      </c>
      <c r="E30" s="228">
        <f>BS!F19</f>
        <v>35.279480225273545</v>
      </c>
      <c r="F30" s="228">
        <f>BS!G19</f>
        <v>50.240128536568619</v>
      </c>
      <c r="G30" s="228">
        <f>BS!H19</f>
        <v>69.09449236602201</v>
      </c>
    </row>
    <row r="31" spans="1:7" x14ac:dyDescent="0.25">
      <c r="A31" s="227"/>
      <c r="B31" s="228"/>
      <c r="C31" s="228"/>
      <c r="D31" s="228"/>
      <c r="E31" s="228"/>
      <c r="F31" s="228"/>
      <c r="G31" s="6"/>
    </row>
    <row r="32" spans="1:7" x14ac:dyDescent="0.25">
      <c r="A32" s="227" t="s">
        <v>535</v>
      </c>
      <c r="B32" s="228">
        <f>SUM(B29:B31)</f>
        <v>48.261416975000081</v>
      </c>
      <c r="C32" s="228">
        <f t="shared" ref="C32:G32" si="6">SUM(C29:C31)</f>
        <v>55.85485574500008</v>
      </c>
      <c r="D32" s="228">
        <f t="shared" si="6"/>
        <v>65.420954667343864</v>
      </c>
      <c r="E32" s="228">
        <f t="shared" si="6"/>
        <v>77.613037725273557</v>
      </c>
      <c r="F32" s="228">
        <f t="shared" si="6"/>
        <v>92.573686036568631</v>
      </c>
      <c r="G32" s="228">
        <f t="shared" si="6"/>
        <v>111.42804986602201</v>
      </c>
    </row>
    <row r="33" spans="1:7" x14ac:dyDescent="0.25">
      <c r="A33" s="227"/>
      <c r="B33" s="227"/>
      <c r="C33" s="227"/>
      <c r="D33" s="227"/>
      <c r="E33" s="227"/>
      <c r="F33" s="227"/>
      <c r="G33" s="6"/>
    </row>
    <row r="34" spans="1:7" x14ac:dyDescent="0.25">
      <c r="A34" s="240" t="s">
        <v>542</v>
      </c>
      <c r="B34" s="230">
        <f>B25/B32</f>
        <v>0</v>
      </c>
      <c r="C34" s="230">
        <f t="shared" ref="C34:G34" si="7">C25/C32</f>
        <v>0</v>
      </c>
      <c r="D34" s="230">
        <f t="shared" si="7"/>
        <v>0</v>
      </c>
      <c r="E34" s="230">
        <f t="shared" si="7"/>
        <v>0</v>
      </c>
      <c r="F34" s="230">
        <f t="shared" si="7"/>
        <v>0</v>
      </c>
      <c r="G34" s="230">
        <f t="shared" si="7"/>
        <v>0</v>
      </c>
    </row>
    <row r="35" spans="1:7" x14ac:dyDescent="0.25">
      <c r="A35" s="244" t="s">
        <v>554</v>
      </c>
      <c r="B35" s="325">
        <f>SUM(B34:G34)/6</f>
        <v>0</v>
      </c>
      <c r="C35" s="326"/>
      <c r="D35" s="326"/>
      <c r="E35" s="326"/>
      <c r="F35" s="326"/>
      <c r="G35" s="327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08" t="s">
        <v>552</v>
      </c>
      <c r="B1" s="308"/>
      <c r="C1" s="308"/>
      <c r="D1" s="308"/>
      <c r="E1" s="308"/>
      <c r="F1" s="308"/>
      <c r="G1" s="308"/>
      <c r="H1" s="308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543</v>
      </c>
      <c r="B4" s="19">
        <f>'P&amp;L'!B36</f>
        <v>5.9278594750000746</v>
      </c>
      <c r="C4" s="19">
        <f>'P&amp;L'!C36</f>
        <v>7.593438769999997</v>
      </c>
      <c r="D4" s="19">
        <f>'P&amp;L'!D36</f>
        <v>9.5660989223437927</v>
      </c>
      <c r="E4" s="19">
        <f>'P&amp;L'!E36</f>
        <v>12.192083057929677</v>
      </c>
      <c r="F4" s="19">
        <f>'P&amp;L'!F36</f>
        <v>14.960648311295071</v>
      </c>
      <c r="G4" s="19">
        <f>'P&amp;L'!G36</f>
        <v>18.854363829453394</v>
      </c>
      <c r="H4" s="19">
        <f>'P&amp;L'!H36</f>
        <v>22.668816810129307</v>
      </c>
      <c r="I4" s="13"/>
    </row>
    <row r="5" spans="1:9" ht="30" x14ac:dyDescent="0.25">
      <c r="A5" s="10" t="s">
        <v>544</v>
      </c>
      <c r="B5" s="19">
        <f>'P&amp;L'!B32</f>
        <v>3.2366399999999995</v>
      </c>
      <c r="C5" s="19">
        <f>'P&amp;L'!C32</f>
        <v>3.2366399999999995</v>
      </c>
      <c r="D5" s="19">
        <f>'P&amp;L'!D32</f>
        <v>3.2366399999999995</v>
      </c>
      <c r="E5" s="19">
        <f>'P&amp;L'!E32</f>
        <v>3.2366399999999995</v>
      </c>
      <c r="F5" s="19">
        <f>'P&amp;L'!F32</f>
        <v>3.2366399999999995</v>
      </c>
      <c r="G5" s="19">
        <f>'P&amp;L'!G32</f>
        <v>3.2366399999999995</v>
      </c>
      <c r="H5" s="19">
        <f>'P&amp;L'!H32</f>
        <v>3.2366399999999995</v>
      </c>
    </row>
    <row r="6" spans="1:9" ht="30" x14ac:dyDescent="0.25">
      <c r="A6" s="10" t="s">
        <v>545</v>
      </c>
      <c r="B6" s="19">
        <f>'P&amp;L'!B27</f>
        <v>0.43499999999999994</v>
      </c>
      <c r="C6" s="19">
        <f>'P&amp;L'!C27</f>
        <v>0.43499999999999994</v>
      </c>
      <c r="D6" s="19">
        <f>'P&amp;L'!D27</f>
        <v>0.43499999999999994</v>
      </c>
      <c r="E6" s="19">
        <f>'P&amp;L'!E27</f>
        <v>0.43499999999999994</v>
      </c>
      <c r="F6" s="19">
        <f>'P&amp;L'!F27</f>
        <v>0.43499999999999994</v>
      </c>
      <c r="G6" s="19">
        <f>'P&amp;L'!G27</f>
        <v>0.43499999999999994</v>
      </c>
      <c r="H6" s="19">
        <f>'P&amp;L'!H27</f>
        <v>0.43499999999999994</v>
      </c>
    </row>
    <row r="7" spans="1:9" ht="30" x14ac:dyDescent="0.25">
      <c r="A7" s="10" t="s">
        <v>546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547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548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3" t="s">
        <v>363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549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550</v>
      </c>
      <c r="B16" s="328" t="e">
        <f>SUM(B12:G12)/6</f>
        <v>#DIV/0!</v>
      </c>
      <c r="C16" s="328"/>
      <c r="D16" s="328"/>
      <c r="E16" s="328"/>
      <c r="F16" s="328"/>
      <c r="G16" s="328"/>
      <c r="H16" s="328"/>
    </row>
    <row r="17" spans="1:8" hidden="1" x14ac:dyDescent="0.25">
      <c r="A17" s="8" t="s">
        <v>551</v>
      </c>
      <c r="B17" s="328" t="e">
        <f>SUM(B14:G14)/6</f>
        <v>#DIV/0!</v>
      </c>
      <c r="C17" s="328"/>
      <c r="D17" s="328"/>
      <c r="E17" s="328"/>
      <c r="F17" s="328"/>
      <c r="G17" s="328"/>
      <c r="H17" s="328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5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6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6"/>
      <c r="G4" s="1" t="s">
        <v>371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6"/>
      <c r="G5" s="1" t="s">
        <v>372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6"/>
      <c r="G6" s="1" t="s">
        <v>371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6"/>
      <c r="G7" s="1" t="s">
        <v>371</v>
      </c>
    </row>
    <row r="8" spans="1:7" x14ac:dyDescent="0.25">
      <c r="A8" s="6"/>
      <c r="B8" s="6" t="s">
        <v>12</v>
      </c>
      <c r="C8" s="6" t="s">
        <v>74</v>
      </c>
      <c r="D8" s="9">
        <f>25*2</f>
        <v>50</v>
      </c>
      <c r="E8" s="9"/>
      <c r="F8" s="126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6"/>
      <c r="G9" s="5" t="s">
        <v>400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6"/>
      <c r="G10" s="1" t="s">
        <v>371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6"/>
      <c r="G11" s="1" t="s">
        <v>371</v>
      </c>
    </row>
    <row r="12" spans="1:7" x14ac:dyDescent="0.25">
      <c r="A12" s="6"/>
      <c r="B12" s="6"/>
      <c r="C12" s="6"/>
      <c r="D12" s="6"/>
      <c r="E12" s="9"/>
      <c r="F12" s="126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6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6"/>
    </row>
    <row r="15" spans="1:7" x14ac:dyDescent="0.25">
      <c r="A15" s="7">
        <v>7</v>
      </c>
      <c r="B15" s="8" t="s">
        <v>23</v>
      </c>
      <c r="C15" s="6" t="s">
        <v>370</v>
      </c>
      <c r="D15" s="6"/>
      <c r="E15" s="9">
        <f>'WC Assessment'!C13</f>
        <v>5.7935575000000039</v>
      </c>
      <c r="F15" s="126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285" t="s">
        <v>24</v>
      </c>
      <c r="C17" s="285"/>
      <c r="D17" s="6"/>
      <c r="E17" s="11">
        <f>SUM(E4:E15)</f>
        <v>166.79355749999999</v>
      </c>
      <c r="F17" s="127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A28" sqref="A28:K44"/>
    </sheetView>
  </sheetViews>
  <sheetFormatPr defaultRowHeight="15" x14ac:dyDescent="0.25"/>
  <cols>
    <col min="1" max="1" width="32" style="104" bestFit="1" customWidth="1"/>
    <col min="2" max="6" width="14.7109375" style="104" bestFit="1" customWidth="1"/>
    <col min="7" max="7" width="13.42578125" style="104" bestFit="1" customWidth="1"/>
    <col min="8" max="8" width="14.7109375" style="104" bestFit="1" customWidth="1"/>
    <col min="9" max="11" width="7.7109375" style="104" bestFit="1" customWidth="1"/>
    <col min="12" max="14" width="9.140625" style="104"/>
    <col min="15" max="15" width="23.42578125" style="104" bestFit="1" customWidth="1"/>
    <col min="16" max="16384" width="9.140625" style="104"/>
  </cols>
  <sheetData>
    <row r="1" spans="1:15" hidden="1" x14ac:dyDescent="0.25">
      <c r="A1" s="133" t="s">
        <v>352</v>
      </c>
      <c r="B1" s="100"/>
      <c r="C1" s="100"/>
      <c r="D1" s="100"/>
      <c r="E1" s="100"/>
      <c r="F1" s="100"/>
      <c r="G1" s="100"/>
      <c r="H1" s="100"/>
    </row>
    <row r="2" spans="1:15" hidden="1" x14ac:dyDescent="0.25">
      <c r="A2" s="100" t="s">
        <v>1</v>
      </c>
      <c r="B2" s="177" t="s">
        <v>36</v>
      </c>
      <c r="C2" s="177" t="s">
        <v>37</v>
      </c>
      <c r="D2" s="177" t="s">
        <v>38</v>
      </c>
      <c r="E2" s="177" t="s">
        <v>39</v>
      </c>
      <c r="F2" s="177" t="s">
        <v>40</v>
      </c>
      <c r="G2" s="177" t="s">
        <v>41</v>
      </c>
      <c r="H2" s="177" t="s">
        <v>42</v>
      </c>
    </row>
    <row r="3" spans="1:15" hidden="1" x14ac:dyDescent="0.25">
      <c r="A3" s="36" t="s">
        <v>353</v>
      </c>
      <c r="B3" s="72">
        <f>'P&amp;L'!B36</f>
        <v>5.9278594750000746</v>
      </c>
      <c r="C3" s="72">
        <f>'P&amp;L'!C36</f>
        <v>7.593438769999997</v>
      </c>
      <c r="D3" s="72">
        <f>'P&amp;L'!D36</f>
        <v>9.5660989223437927</v>
      </c>
      <c r="E3" s="72">
        <f>'P&amp;L'!E36</f>
        <v>12.192083057929677</v>
      </c>
      <c r="F3" s="72">
        <f>'P&amp;L'!F36</f>
        <v>14.960648311295071</v>
      </c>
      <c r="G3" s="72">
        <f>'P&amp;L'!G36</f>
        <v>18.854363829453394</v>
      </c>
      <c r="H3" s="72">
        <f>'P&amp;L'!H36</f>
        <v>22.668816810129307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354</v>
      </c>
      <c r="B5" s="72">
        <f>'P&amp;L'!B32</f>
        <v>3.2366399999999995</v>
      </c>
      <c r="C5" s="72">
        <f>'P&amp;L'!C32</f>
        <v>3.2366399999999995</v>
      </c>
      <c r="D5" s="72">
        <f>'P&amp;L'!D32</f>
        <v>3.2366399999999995</v>
      </c>
      <c r="E5" s="72">
        <f>'P&amp;L'!E32</f>
        <v>3.2366399999999995</v>
      </c>
      <c r="F5" s="72">
        <f>'P&amp;L'!F32</f>
        <v>3.2366399999999995</v>
      </c>
      <c r="G5" s="72">
        <f>'P&amp;L'!G32</f>
        <v>3.2366399999999995</v>
      </c>
      <c r="H5" s="72">
        <f>'P&amp;L'!H32</f>
        <v>3.2366399999999995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4"/>
      <c r="M6" s="224"/>
      <c r="O6" s="120"/>
    </row>
    <row r="7" spans="1:15" hidden="1" x14ac:dyDescent="0.25">
      <c r="A7" s="36" t="s">
        <v>355</v>
      </c>
      <c r="B7" s="72">
        <f>'P&amp;L'!B27</f>
        <v>0.43499999999999994</v>
      </c>
      <c r="C7" s="72">
        <f>'P&amp;L'!C27</f>
        <v>0.43499999999999994</v>
      </c>
      <c r="D7" s="72">
        <f>'P&amp;L'!D27</f>
        <v>0.43499999999999994</v>
      </c>
      <c r="E7" s="72">
        <f>'P&amp;L'!E27</f>
        <v>0.43499999999999994</v>
      </c>
      <c r="F7" s="72">
        <f>'P&amp;L'!F27</f>
        <v>0.43499999999999994</v>
      </c>
      <c r="G7" s="72">
        <f>'P&amp;L'!G27</f>
        <v>0.43499999999999994</v>
      </c>
      <c r="H7" s="72">
        <f>'P&amp;L'!H27</f>
        <v>0.43499999999999994</v>
      </c>
      <c r="I7" s="1"/>
      <c r="J7" s="1"/>
      <c r="K7" s="1"/>
      <c r="L7" s="120"/>
      <c r="M7" s="224"/>
      <c r="O7" s="120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4"/>
      <c r="M8" s="224"/>
      <c r="O8" s="120"/>
    </row>
    <row r="9" spans="1:15" hidden="1" x14ac:dyDescent="0.25">
      <c r="A9" s="77" t="s">
        <v>441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356</v>
      </c>
      <c r="B11" s="72">
        <f>B3+B5+B7</f>
        <v>9.5994994750000746</v>
      </c>
      <c r="C11" s="72">
        <f t="shared" ref="C11:G11" si="0">C3+C5+C7</f>
        <v>11.265078769999997</v>
      </c>
      <c r="D11" s="72">
        <f t="shared" si="0"/>
        <v>13.237738922343793</v>
      </c>
      <c r="E11" s="72">
        <f t="shared" si="0"/>
        <v>15.863723057929677</v>
      </c>
      <c r="F11" s="72">
        <f t="shared" si="0"/>
        <v>18.632288311295067</v>
      </c>
      <c r="G11" s="72">
        <f t="shared" si="0"/>
        <v>22.526003829453391</v>
      </c>
      <c r="H11" s="72">
        <f>H3+H5+H7+H9</f>
        <v>26.340456810129307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357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7" t="s">
        <v>442</v>
      </c>
      <c r="B15" s="44">
        <f t="shared" ref="B15:H15" si="2">B11*B13</f>
        <v>8.7268177045455229</v>
      </c>
      <c r="C15" s="44">
        <f t="shared" si="2"/>
        <v>9.3099824545454517</v>
      </c>
      <c r="D15" s="44">
        <f t="shared" si="2"/>
        <v>9.945709182827791</v>
      </c>
      <c r="E15" s="44">
        <f t="shared" si="2"/>
        <v>10.835136300751092</v>
      </c>
      <c r="F15" s="44">
        <f t="shared" si="2"/>
        <v>11.569185109868961</v>
      </c>
      <c r="G15" s="44">
        <f t="shared" si="2"/>
        <v>12.715341910017989</v>
      </c>
      <c r="H15" s="44">
        <f t="shared" si="2"/>
        <v>13.516819250023152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443</v>
      </c>
      <c r="B17" s="9">
        <f>SUM(B15:H15)</f>
        <v>76.618991912579958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4" t="s">
        <v>444</v>
      </c>
      <c r="B20" s="116">
        <f>'Project Glance'!B15</f>
        <v>97.1435575</v>
      </c>
      <c r="D20" s="116"/>
      <c r="E20" s="121"/>
      <c r="F20" s="121"/>
      <c r="G20" s="121"/>
      <c r="H20" s="121"/>
      <c r="I20" s="121"/>
      <c r="J20" s="121"/>
    </row>
    <row r="21" spans="1:11" hidden="1" x14ac:dyDescent="0.25">
      <c r="E21" s="38"/>
      <c r="F21" s="121"/>
      <c r="G21" s="121"/>
      <c r="H21" s="121"/>
      <c r="I21" s="121"/>
      <c r="J21" s="121"/>
    </row>
    <row r="22" spans="1:11" s="119" customFormat="1" hidden="1" x14ac:dyDescent="0.25">
      <c r="A22" s="178" t="s">
        <v>445</v>
      </c>
      <c r="B22" s="179">
        <f>B17-B20</f>
        <v>-20.524565587420042</v>
      </c>
    </row>
    <row r="23" spans="1:11" hidden="1" x14ac:dyDescent="0.25"/>
    <row r="24" spans="1:11" hidden="1" x14ac:dyDescent="0.25">
      <c r="A24" s="138" t="s">
        <v>358</v>
      </c>
      <c r="B24" s="140" t="e">
        <f>IRR(B11:H11)</f>
        <v>#NUM!</v>
      </c>
    </row>
    <row r="25" spans="1:11" hidden="1" x14ac:dyDescent="0.25">
      <c r="A25" s="119"/>
      <c r="B25" s="119"/>
    </row>
    <row r="26" spans="1:11" hidden="1" x14ac:dyDescent="0.25">
      <c r="A26" s="138" t="s">
        <v>451</v>
      </c>
      <c r="B26" s="139">
        <f>AVERAGE('P&amp;L'!B36:H36)/'Project Glance'!B23</f>
        <v>0.13494507001168468</v>
      </c>
      <c r="D26" s="120"/>
    </row>
    <row r="28" spans="1:11" x14ac:dyDescent="0.25">
      <c r="A28" s="122" t="s">
        <v>1</v>
      </c>
      <c r="B28" s="122" t="s">
        <v>36</v>
      </c>
      <c r="C28" s="122" t="s">
        <v>37</v>
      </c>
      <c r="D28" s="122" t="s">
        <v>38</v>
      </c>
      <c r="E28" s="122" t="s">
        <v>39</v>
      </c>
      <c r="F28" s="122" t="s">
        <v>40</v>
      </c>
      <c r="G28" s="122" t="s">
        <v>41</v>
      </c>
      <c r="H28" s="122" t="s">
        <v>42</v>
      </c>
      <c r="I28" s="122" t="s">
        <v>502</v>
      </c>
      <c r="J28" s="122" t="s">
        <v>503</v>
      </c>
      <c r="K28" s="122" t="s">
        <v>504</v>
      </c>
    </row>
    <row r="29" spans="1:11" x14ac:dyDescent="0.25">
      <c r="A29" s="36" t="s">
        <v>353</v>
      </c>
      <c r="B29" s="72">
        <f>+'P&amp;L'!B36</f>
        <v>5.9278594750000746</v>
      </c>
      <c r="C29" s="72">
        <f>+'P&amp;L'!C36</f>
        <v>7.593438769999997</v>
      </c>
      <c r="D29" s="72">
        <f>+'P&amp;L'!D36</f>
        <v>9.5660989223437927</v>
      </c>
      <c r="E29" s="72">
        <f>+'P&amp;L'!E36</f>
        <v>12.192083057929677</v>
      </c>
      <c r="F29" s="72">
        <f>+'P&amp;L'!F36</f>
        <v>14.960648311295071</v>
      </c>
      <c r="G29" s="72">
        <f>+'P&amp;L'!G36</f>
        <v>18.854363829453394</v>
      </c>
      <c r="H29" s="72">
        <f>+'P&amp;L'!H36</f>
        <v>22.668816810129307</v>
      </c>
      <c r="I29" s="72">
        <f>+'P&amp;L'!I36</f>
        <v>25.360439185761365</v>
      </c>
      <c r="J29" s="72">
        <f>+'P&amp;L'!J36</f>
        <v>30.356875638807541</v>
      </c>
      <c r="K29" s="72">
        <f>+'P&amp;L'!K36</f>
        <v>36.024205548391613</v>
      </c>
    </row>
    <row r="30" spans="1:11" x14ac:dyDescent="0.25">
      <c r="A30" s="36" t="s">
        <v>360</v>
      </c>
      <c r="B30" s="72">
        <f>SUM(B36:B40)</f>
        <v>14.640900525000003</v>
      </c>
      <c r="C30" s="72">
        <f t="shared" ref="C30:K30" si="3">SUM(C36:C40)</f>
        <v>15.571324125</v>
      </c>
      <c r="D30" s="72">
        <f t="shared" si="3"/>
        <v>16.385286360937499</v>
      </c>
      <c r="E30" s="72">
        <f t="shared" si="3"/>
        <v>17.279548801171877</v>
      </c>
      <c r="F30" s="72">
        <f t="shared" si="3"/>
        <v>18.202418570917967</v>
      </c>
      <c r="G30" s="72">
        <f t="shared" si="3"/>
        <v>19.222516374776365</v>
      </c>
      <c r="H30" s="72">
        <f t="shared" si="3"/>
        <v>20.272008496640186</v>
      </c>
      <c r="I30" s="72">
        <f t="shared" si="3"/>
        <v>21.145890303034694</v>
      </c>
      <c r="J30" s="72">
        <f t="shared" si="3"/>
        <v>22.300549782561429</v>
      </c>
      <c r="K30" s="72">
        <f t="shared" si="3"/>
        <v>23.499163098252009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359</v>
      </c>
      <c r="B33" s="72">
        <f>SUM(B29:B32)</f>
        <v>20.568760000000076</v>
      </c>
      <c r="C33" s="72">
        <f t="shared" ref="C33:K33" si="4">SUM(C29:C32)</f>
        <v>23.164762894999996</v>
      </c>
      <c r="D33" s="72">
        <f t="shared" si="4"/>
        <v>25.95138528328129</v>
      </c>
      <c r="E33" s="72">
        <f t="shared" si="4"/>
        <v>29.471631859101556</v>
      </c>
      <c r="F33" s="72">
        <f t="shared" si="4"/>
        <v>33.163066882213037</v>
      </c>
      <c r="G33" s="72">
        <f t="shared" si="4"/>
        <v>38.076880204229759</v>
      </c>
      <c r="H33" s="72">
        <f t="shared" si="4"/>
        <v>42.940825306769497</v>
      </c>
      <c r="I33" s="72">
        <f t="shared" si="4"/>
        <v>46.506329488796055</v>
      </c>
      <c r="J33" s="72">
        <f t="shared" si="4"/>
        <v>52.65742542136897</v>
      </c>
      <c r="K33" s="72">
        <f t="shared" si="4"/>
        <v>59.523368646643618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360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446</v>
      </c>
      <c r="B36" s="73">
        <f>'P&amp;L'!B23</f>
        <v>9.4050000000000011</v>
      </c>
      <c r="C36" s="73">
        <f>'P&amp;L'!C23</f>
        <v>9.8752500000000012</v>
      </c>
      <c r="D36" s="73">
        <f>'P&amp;L'!D23</f>
        <v>10.3690125</v>
      </c>
      <c r="E36" s="73">
        <f>'P&amp;L'!E23</f>
        <v>10.887463125000004</v>
      </c>
      <c r="F36" s="73">
        <f>'P&amp;L'!F23</f>
        <v>11.431836281250003</v>
      </c>
      <c r="G36" s="73">
        <f>'P&amp;L'!G23</f>
        <v>12.003428095312501</v>
      </c>
      <c r="H36" s="73">
        <f>'P&amp;L'!H23</f>
        <v>12.603599500078129</v>
      </c>
      <c r="I36" s="73">
        <f>'P&amp;L'!I23</f>
        <v>13.233779475082034</v>
      </c>
      <c r="J36" s="73">
        <f>'P&amp;L'!J23</f>
        <v>13.895468448836136</v>
      </c>
      <c r="K36" s="73">
        <f>'P&amp;L'!K23</f>
        <v>14.590241871277945</v>
      </c>
    </row>
    <row r="37" spans="1:11" x14ac:dyDescent="0.25">
      <c r="A37" s="36" t="s">
        <v>447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448</v>
      </c>
      <c r="B38" s="73">
        <f>'P&amp;L'!B31</f>
        <v>1.5642605250000008</v>
      </c>
      <c r="C38" s="73">
        <f>'P&amp;L'!C31</f>
        <v>2.024434125</v>
      </c>
      <c r="D38" s="73">
        <f>'P&amp;L'!D31</f>
        <v>2.3446338609375008</v>
      </c>
      <c r="E38" s="73">
        <f>'P&amp;L'!E31</f>
        <v>2.7204456761718756</v>
      </c>
      <c r="F38" s="73">
        <f>'P&amp;L'!F31</f>
        <v>3.098942289667967</v>
      </c>
      <c r="G38" s="73">
        <f>'P&amp;L'!G31</f>
        <v>3.5474482794638686</v>
      </c>
      <c r="H38" s="73">
        <f>'P&amp;L'!H31</f>
        <v>3.9967689965620612</v>
      </c>
      <c r="I38" s="73">
        <f>'P&amp;L'!I31</f>
        <v>4.2404708279526631</v>
      </c>
      <c r="J38" s="73">
        <f>'P&amp;L'!J31</f>
        <v>4.7334413337252972</v>
      </c>
      <c r="K38" s="73">
        <f>'P&amp;L'!K31</f>
        <v>5.237281226974063</v>
      </c>
    </row>
    <row r="39" spans="1:11" x14ac:dyDescent="0.25">
      <c r="A39" s="36" t="s">
        <v>365</v>
      </c>
      <c r="B39" s="73">
        <f>'P&amp;L'!B32</f>
        <v>3.2366399999999995</v>
      </c>
      <c r="C39" s="73">
        <f>'P&amp;L'!C32</f>
        <v>3.2366399999999995</v>
      </c>
      <c r="D39" s="73">
        <f>'P&amp;L'!D32</f>
        <v>3.2366399999999995</v>
      </c>
      <c r="E39" s="73">
        <f>'P&amp;L'!E32</f>
        <v>3.2366399999999995</v>
      </c>
      <c r="F39" s="73">
        <f>'P&amp;L'!F32</f>
        <v>3.2366399999999995</v>
      </c>
      <c r="G39" s="73">
        <f>'P&amp;L'!G32</f>
        <v>3.2366399999999995</v>
      </c>
      <c r="H39" s="73">
        <f>'P&amp;L'!H32</f>
        <v>3.2366399999999995</v>
      </c>
      <c r="I39" s="73">
        <f>'P&amp;L'!I32</f>
        <v>3.2366399999999995</v>
      </c>
      <c r="J39" s="73">
        <f>'P&amp;L'!J32</f>
        <v>3.2366399999999995</v>
      </c>
      <c r="K39" s="73">
        <f>'P&amp;L'!K32</f>
        <v>3.2366399999999995</v>
      </c>
    </row>
    <row r="40" spans="1:11" x14ac:dyDescent="0.25">
      <c r="A40" s="36" t="s">
        <v>449</v>
      </c>
      <c r="B40" s="73">
        <f>'P&amp;L'!B27</f>
        <v>0.43499999999999994</v>
      </c>
      <c r="C40" s="73">
        <f>'P&amp;L'!C27</f>
        <v>0.43499999999999994</v>
      </c>
      <c r="D40" s="73">
        <f>'P&amp;L'!D27</f>
        <v>0.43499999999999994</v>
      </c>
      <c r="E40" s="73">
        <f>'P&amp;L'!E27</f>
        <v>0.43499999999999994</v>
      </c>
      <c r="F40" s="73">
        <f>'P&amp;L'!F27</f>
        <v>0.43499999999999994</v>
      </c>
      <c r="G40" s="73">
        <f>'P&amp;L'!G27</f>
        <v>0.43499999999999994</v>
      </c>
      <c r="H40" s="73">
        <f>'P&amp;L'!H27</f>
        <v>0.43499999999999994</v>
      </c>
      <c r="I40" s="73">
        <f>'P&amp;L'!I27</f>
        <v>0.43499999999999994</v>
      </c>
      <c r="J40" s="73">
        <f>'P&amp;L'!J27</f>
        <v>0.43499999999999994</v>
      </c>
      <c r="K40" s="73">
        <f>'P&amp;L'!K27</f>
        <v>0.43499999999999994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361</v>
      </c>
      <c r="B42" s="123">
        <f>(B36+B37+B38+B39+B40)/B33</f>
        <v>0.71180277882575071</v>
      </c>
      <c r="C42" s="123">
        <f t="shared" ref="C42:K42" si="5">(C36+C37+C38+C39+C40)/C33</f>
        <v>0.67219872681541659</v>
      </c>
      <c r="D42" s="123">
        <f t="shared" si="5"/>
        <v>0.63138388113305932</v>
      </c>
      <c r="E42" s="123">
        <f t="shared" si="5"/>
        <v>0.58631123257043305</v>
      </c>
      <c r="F42" s="123">
        <f t="shared" si="5"/>
        <v>0.54887621327570302</v>
      </c>
      <c r="G42" s="123">
        <f t="shared" si="5"/>
        <v>0.50483433179593951</v>
      </c>
      <c r="H42" s="123">
        <f t="shared" si="5"/>
        <v>0.47209172976571467</v>
      </c>
      <c r="I42" s="123">
        <f t="shared" si="5"/>
        <v>0.45468843779918167</v>
      </c>
      <c r="J42" s="123">
        <f t="shared" si="5"/>
        <v>0.42350247100215455</v>
      </c>
      <c r="K42" s="123">
        <f t="shared" si="5"/>
        <v>0.39478886414767911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6" t="s">
        <v>362</v>
      </c>
      <c r="B44" s="137">
        <f>AVERAGE(B42:K42)</f>
        <v>0.54004786671310323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9"/>
      <c r="B45" s="119"/>
    </row>
    <row r="46" spans="1:11" hidden="1" x14ac:dyDescent="0.25">
      <c r="A46" s="138" t="s">
        <v>450</v>
      </c>
      <c r="B46" s="138"/>
    </row>
    <row r="47" spans="1:11" hidden="1" x14ac:dyDescent="0.25">
      <c r="A47" s="119"/>
      <c r="B47" s="119"/>
    </row>
    <row r="49" spans="1:11" x14ac:dyDescent="0.25">
      <c r="A49" s="15" t="s">
        <v>363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502</v>
      </c>
      <c r="J49" s="46" t="s">
        <v>503</v>
      </c>
      <c r="K49" s="46" t="s">
        <v>504</v>
      </c>
    </row>
    <row r="50" spans="1:11" x14ac:dyDescent="0.25">
      <c r="A50" s="36" t="s">
        <v>364</v>
      </c>
      <c r="B50" s="72">
        <f>'P&amp;L'!B36</f>
        <v>5.9278594750000746</v>
      </c>
      <c r="C50" s="72">
        <f>'P&amp;L'!C36</f>
        <v>7.593438769999997</v>
      </c>
      <c r="D50" s="72">
        <f>'P&amp;L'!D36</f>
        <v>9.5660989223437927</v>
      </c>
      <c r="E50" s="72">
        <f>'P&amp;L'!E36</f>
        <v>12.192083057929677</v>
      </c>
      <c r="F50" s="72">
        <f>'P&amp;L'!F36</f>
        <v>14.960648311295071</v>
      </c>
      <c r="G50" s="72">
        <f>'P&amp;L'!G36</f>
        <v>18.854363829453394</v>
      </c>
      <c r="H50" s="72">
        <f>'P&amp;L'!H36</f>
        <v>22.668816810129307</v>
      </c>
      <c r="I50" s="72">
        <f>'P&amp;L'!I36</f>
        <v>25.360439185761365</v>
      </c>
      <c r="J50" s="72">
        <f>'P&amp;L'!J36</f>
        <v>30.356875638807541</v>
      </c>
      <c r="K50" s="72">
        <f>'P&amp;L'!K36</f>
        <v>36.024205548391613</v>
      </c>
    </row>
    <row r="51" spans="1:11" x14ac:dyDescent="0.25">
      <c r="A51" s="36" t="s">
        <v>365</v>
      </c>
      <c r="B51" s="72">
        <f>'P&amp;L'!B32</f>
        <v>3.2366399999999995</v>
      </c>
      <c r="C51" s="72">
        <f>'P&amp;L'!C32</f>
        <v>3.2366399999999995</v>
      </c>
      <c r="D51" s="72">
        <f>'P&amp;L'!D32</f>
        <v>3.2366399999999995</v>
      </c>
      <c r="E51" s="72">
        <f>'P&amp;L'!E32</f>
        <v>3.2366399999999995</v>
      </c>
      <c r="F51" s="72">
        <f>'P&amp;L'!F32</f>
        <v>3.2366399999999995</v>
      </c>
      <c r="G51" s="72">
        <f>'P&amp;L'!G32</f>
        <v>3.2366399999999995</v>
      </c>
      <c r="H51" s="72">
        <f>'P&amp;L'!H32</f>
        <v>3.2366399999999995</v>
      </c>
      <c r="I51" s="72">
        <f>'P&amp;L'!I32</f>
        <v>3.2366399999999995</v>
      </c>
      <c r="J51" s="72">
        <f>'P&amp;L'!J32</f>
        <v>3.2366399999999995</v>
      </c>
      <c r="K51" s="72">
        <f>'P&amp;L'!K32</f>
        <v>3.2366399999999995</v>
      </c>
    </row>
    <row r="52" spans="1:11" x14ac:dyDescent="0.25">
      <c r="A52" s="36" t="s">
        <v>366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449</v>
      </c>
      <c r="B53" s="72">
        <f>'P&amp;L'!B27</f>
        <v>0.43499999999999994</v>
      </c>
      <c r="C53" s="72">
        <f>'P&amp;L'!C27</f>
        <v>0.43499999999999994</v>
      </c>
      <c r="D53" s="72">
        <f>'P&amp;L'!D27</f>
        <v>0.43499999999999994</v>
      </c>
      <c r="E53" s="72">
        <f>'P&amp;L'!E27</f>
        <v>0.43499999999999994</v>
      </c>
      <c r="F53" s="72">
        <f>'P&amp;L'!F27</f>
        <v>0.43499999999999994</v>
      </c>
      <c r="G53" s="72">
        <f>'P&amp;L'!G27</f>
        <v>0.43499999999999994</v>
      </c>
      <c r="H53" s="72">
        <f>'P&amp;L'!H27</f>
        <v>0.43499999999999994</v>
      </c>
      <c r="I53" s="72">
        <f>'P&amp;L'!I27</f>
        <v>0.43499999999999994</v>
      </c>
      <c r="J53" s="72">
        <f>'P&amp;L'!J27</f>
        <v>0.43499999999999994</v>
      </c>
      <c r="K53" s="72">
        <f>'P&amp;L'!K27</f>
        <v>0.43499999999999994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367</v>
      </c>
      <c r="B55" s="72">
        <f>SUM(B50:B54)</f>
        <v>9.5994994750000746</v>
      </c>
      <c r="C55" s="72">
        <f t="shared" ref="C55:H55" si="6">SUM(C50:C54)</f>
        <v>11.265078769999997</v>
      </c>
      <c r="D55" s="72">
        <f t="shared" si="6"/>
        <v>13.237738922343793</v>
      </c>
      <c r="E55" s="72">
        <f t="shared" si="6"/>
        <v>15.863723057929677</v>
      </c>
      <c r="F55" s="72">
        <f t="shared" si="6"/>
        <v>18.632288311295067</v>
      </c>
      <c r="G55" s="72">
        <f t="shared" si="6"/>
        <v>22.526003829453391</v>
      </c>
      <c r="H55" s="72">
        <f t="shared" si="6"/>
        <v>26.340456810129307</v>
      </c>
      <c r="I55" s="72">
        <f t="shared" ref="I55:K55" si="7">SUM(I50:I54)</f>
        <v>29.032079185761365</v>
      </c>
      <c r="J55" s="72">
        <f t="shared" si="7"/>
        <v>34.028515638807541</v>
      </c>
      <c r="K55" s="72">
        <f t="shared" si="7"/>
        <v>39.695845548391617</v>
      </c>
    </row>
    <row r="56" spans="1:11" x14ac:dyDescent="0.25">
      <c r="A56" s="36" t="s">
        <v>368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4" t="s">
        <v>363</v>
      </c>
      <c r="B58" s="125" t="e">
        <f>B55/B56</f>
        <v>#DIV/0!</v>
      </c>
      <c r="C58" s="125" t="e">
        <f t="shared" ref="C58:G58" si="8">C55/C56</f>
        <v>#DIV/0!</v>
      </c>
      <c r="D58" s="125" t="e">
        <f t="shared" si="8"/>
        <v>#DIV/0!</v>
      </c>
      <c r="E58" s="125" t="e">
        <f t="shared" si="8"/>
        <v>#DIV/0!</v>
      </c>
      <c r="F58" s="125" t="e">
        <f t="shared" si="8"/>
        <v>#DIV/0!</v>
      </c>
      <c r="G58" s="125" t="e">
        <f t="shared" si="8"/>
        <v>#DIV/0!</v>
      </c>
      <c r="H58" s="125">
        <v>0</v>
      </c>
      <c r="I58" s="125">
        <v>0</v>
      </c>
      <c r="J58" s="125">
        <v>0</v>
      </c>
      <c r="K58" s="125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4" t="s">
        <v>369</v>
      </c>
      <c r="B60" s="125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ax="59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29"/>
      <c r="E1" s="329"/>
      <c r="F1" s="329"/>
      <c r="G1" s="329"/>
      <c r="H1" s="329"/>
      <c r="I1" s="329"/>
      <c r="J1" s="330"/>
    </row>
    <row r="2" spans="1:10" x14ac:dyDescent="0.25">
      <c r="A2" s="192" t="s">
        <v>473</v>
      </c>
      <c r="B2" s="192" t="s">
        <v>1</v>
      </c>
      <c r="C2" s="193" t="s">
        <v>474</v>
      </c>
      <c r="D2" s="193" t="s">
        <v>480</v>
      </c>
      <c r="E2" s="193" t="s">
        <v>37</v>
      </c>
      <c r="F2" s="46" t="s">
        <v>38</v>
      </c>
      <c r="G2" s="193" t="s">
        <v>39</v>
      </c>
      <c r="H2" s="193" t="s">
        <v>40</v>
      </c>
      <c r="I2" s="46" t="s">
        <v>41</v>
      </c>
      <c r="J2" s="193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479</v>
      </c>
      <c r="C4" s="43">
        <v>1000</v>
      </c>
      <c r="D4" s="9">
        <f>'P&amp;L'!B36*100000/('Output Schedule'!B12+'Output Schedule'!B17)</f>
        <v>219.55035092592868</v>
      </c>
      <c r="E4" s="9">
        <f>'P&amp;L'!C36*100000/('Output Schedule'!C12+'Output Schedule'!C17)</f>
        <v>253.11462566666657</v>
      </c>
      <c r="F4" s="9">
        <f>'P&amp;L'!D36*100000/('Output Schedule'!D12+'Output Schedule'!D17)</f>
        <v>289.88178552556946</v>
      </c>
      <c r="G4" s="9">
        <f>'P&amp;L'!E36*100000/('Output Schedule'!E12+'Output Schedule'!E17)</f>
        <v>338.66897383137996</v>
      </c>
      <c r="H4" s="9">
        <f>'P&amp;L'!F36*100000/('Output Schedule'!F12+'Output Schedule'!F17)</f>
        <v>383.60636695628386</v>
      </c>
      <c r="I4" s="9">
        <f>'P&amp;L'!G36*100000/('Output Schedule'!G12+'Output Schedule'!G17)</f>
        <v>448.9134245107951</v>
      </c>
      <c r="J4" s="9">
        <f>'P&amp;L'!H36*100000/('Output Schedule'!H12+'Output Schedule'!H17)</f>
        <v>503.75148466954016</v>
      </c>
    </row>
    <row r="5" spans="1:10" x14ac:dyDescent="0.25">
      <c r="A5" s="6"/>
      <c r="B5" s="83" t="s">
        <v>493</v>
      </c>
      <c r="C5" s="190"/>
      <c r="D5" s="11">
        <f>D4</f>
        <v>219.55035092592868</v>
      </c>
      <c r="E5" s="11">
        <f t="shared" ref="E5:J5" si="0">E4</f>
        <v>253.11462566666657</v>
      </c>
      <c r="F5" s="11">
        <f t="shared" si="0"/>
        <v>289.88178552556946</v>
      </c>
      <c r="G5" s="11">
        <f t="shared" si="0"/>
        <v>338.66897383137996</v>
      </c>
      <c r="H5" s="11">
        <f t="shared" si="0"/>
        <v>383.60636695628386</v>
      </c>
      <c r="I5" s="11">
        <f t="shared" si="0"/>
        <v>448.9134245107951</v>
      </c>
      <c r="J5" s="11">
        <f t="shared" si="0"/>
        <v>503.75148466954016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4"/>
      <c r="B7" s="195"/>
      <c r="C7" s="196"/>
      <c r="D7" s="197"/>
      <c r="E7" s="197"/>
      <c r="F7" s="197"/>
      <c r="G7" s="197"/>
      <c r="H7" s="197"/>
      <c r="I7" s="197"/>
      <c r="J7" s="197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8"/>
      <c r="B9" s="199" t="s">
        <v>475</v>
      </c>
      <c r="C9" s="200"/>
      <c r="D9" s="198"/>
      <c r="E9" s="198"/>
      <c r="F9" s="198"/>
      <c r="G9" s="198"/>
      <c r="H9" s="198"/>
      <c r="I9" s="198"/>
      <c r="J9" s="198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476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202" t="s">
        <v>477</v>
      </c>
      <c r="C12" s="43"/>
      <c r="D12" s="11">
        <f>D5*0.6</f>
        <v>131.73021055555719</v>
      </c>
      <c r="E12" s="11">
        <f t="shared" ref="E12:J12" si="1">E5*0.6</f>
        <v>151.86877539999995</v>
      </c>
      <c r="F12" s="11">
        <f t="shared" si="1"/>
        <v>173.92907131534167</v>
      </c>
      <c r="G12" s="11">
        <f t="shared" si="1"/>
        <v>203.20138429882797</v>
      </c>
      <c r="H12" s="11">
        <f t="shared" si="1"/>
        <v>230.16382017377032</v>
      </c>
      <c r="I12" s="11">
        <f t="shared" si="1"/>
        <v>269.34805470647706</v>
      </c>
      <c r="J12" s="11">
        <f t="shared" si="1"/>
        <v>302.2508908017241</v>
      </c>
    </row>
    <row r="13" spans="1:10" x14ac:dyDescent="0.25">
      <c r="A13" s="6"/>
      <c r="B13" s="202" t="s">
        <v>478</v>
      </c>
      <c r="C13" s="43"/>
      <c r="D13" s="11">
        <f>D5*0.4</f>
        <v>87.820140370371476</v>
      </c>
      <c r="E13" s="11">
        <f t="shared" ref="E13:J13" si="2">E5*0.4</f>
        <v>101.24585026666664</v>
      </c>
      <c r="F13" s="11">
        <f t="shared" si="2"/>
        <v>115.95271421022778</v>
      </c>
      <c r="G13" s="11">
        <f t="shared" si="2"/>
        <v>135.46758953255198</v>
      </c>
      <c r="H13" s="11">
        <f t="shared" si="2"/>
        <v>153.44254678251355</v>
      </c>
      <c r="I13" s="11">
        <f t="shared" si="2"/>
        <v>179.56536980431804</v>
      </c>
      <c r="J13" s="11">
        <f t="shared" si="2"/>
        <v>201.50059386781606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4" t="s">
        <v>1</v>
      </c>
      <c r="B1" s="191" t="s">
        <v>36</v>
      </c>
      <c r="C1" s="191" t="s">
        <v>37</v>
      </c>
      <c r="D1" s="191" t="s">
        <v>38</v>
      </c>
      <c r="E1" s="191" t="s">
        <v>39</v>
      </c>
      <c r="F1" s="191" t="s">
        <v>40</v>
      </c>
      <c r="G1" s="191" t="s">
        <v>41</v>
      </c>
      <c r="H1" s="191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3" t="s">
        <v>481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482</v>
      </c>
      <c r="B4" s="205">
        <f>'Output Schedule'!B12+'Output Schedule'!B17</f>
        <v>2700</v>
      </c>
      <c r="C4" s="205">
        <f>'Output Schedule'!C12+'Output Schedule'!C17</f>
        <v>3000</v>
      </c>
      <c r="D4" s="205">
        <f>'Output Schedule'!D12+'Output Schedule'!D17</f>
        <v>3300.0000000000005</v>
      </c>
      <c r="E4" s="205">
        <f>'Output Schedule'!E12+'Output Schedule'!E17</f>
        <v>3600</v>
      </c>
      <c r="F4" s="205">
        <f>'Output Schedule'!F12+'Output Schedule'!F17</f>
        <v>3900</v>
      </c>
      <c r="G4" s="205">
        <f>'Output Schedule'!G12+'Output Schedule'!G17</f>
        <v>4200</v>
      </c>
      <c r="H4" s="205">
        <f>'Output Schedule'!H12+'Output Schedule'!H17</f>
        <v>4500</v>
      </c>
    </row>
    <row r="5" spans="1:8" x14ac:dyDescent="0.25">
      <c r="A5" s="10" t="s">
        <v>483</v>
      </c>
      <c r="B5" s="19">
        <f>'[2]Prices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495</v>
      </c>
      <c r="B6" s="9">
        <f t="shared" ref="B6:H6" si="0">B4/$B$5</f>
        <v>548.88888888888891</v>
      </c>
      <c r="C6" s="9">
        <f t="shared" si="0"/>
        <v>609.87654320987656</v>
      </c>
      <c r="D6" s="9">
        <f t="shared" si="0"/>
        <v>670.86419753086432</v>
      </c>
      <c r="E6" s="9">
        <f t="shared" si="0"/>
        <v>731.85185185185185</v>
      </c>
      <c r="F6" s="9">
        <f t="shared" si="0"/>
        <v>792.83950617283961</v>
      </c>
      <c r="G6" s="9">
        <f t="shared" si="0"/>
        <v>853.82716049382725</v>
      </c>
      <c r="H6" s="9">
        <f t="shared" si="0"/>
        <v>914.81481481481489</v>
      </c>
    </row>
    <row r="7" spans="1:8" x14ac:dyDescent="0.25">
      <c r="A7" s="10" t="s">
        <v>496</v>
      </c>
      <c r="B7" s="9">
        <f>B6/2.47</f>
        <v>222.22222222222223</v>
      </c>
      <c r="C7" s="9">
        <f t="shared" ref="C7:H7" si="1">C6/2.47</f>
        <v>246.91358024691357</v>
      </c>
      <c r="D7" s="9">
        <f t="shared" si="1"/>
        <v>271.60493827160496</v>
      </c>
      <c r="E7" s="9">
        <f t="shared" si="1"/>
        <v>296.29629629629625</v>
      </c>
      <c r="F7" s="9">
        <f t="shared" si="1"/>
        <v>320.98765432098764</v>
      </c>
      <c r="G7" s="9">
        <f t="shared" si="1"/>
        <v>345.67901234567904</v>
      </c>
      <c r="H7" s="9">
        <f t="shared" si="1"/>
        <v>370.37037037037038</v>
      </c>
    </row>
    <row r="8" spans="1:8" ht="30" x14ac:dyDescent="0.25">
      <c r="A8" s="206" t="s">
        <v>497</v>
      </c>
      <c r="B8" s="207">
        <f>ROUND(B7,0)</f>
        <v>222</v>
      </c>
      <c r="C8" s="207">
        <f t="shared" ref="C8:H8" si="2">ROUND(C7,0)</f>
        <v>247</v>
      </c>
      <c r="D8" s="207">
        <f t="shared" si="2"/>
        <v>272</v>
      </c>
      <c r="E8" s="207">
        <f t="shared" si="2"/>
        <v>296</v>
      </c>
      <c r="F8" s="207">
        <f t="shared" si="2"/>
        <v>321</v>
      </c>
      <c r="G8" s="207">
        <f t="shared" si="2"/>
        <v>346</v>
      </c>
      <c r="H8" s="207">
        <f t="shared" si="2"/>
        <v>370</v>
      </c>
    </row>
    <row r="9" spans="1:8" ht="30" x14ac:dyDescent="0.25">
      <c r="A9" s="206" t="s">
        <v>498</v>
      </c>
      <c r="B9" s="208">
        <f>'Benefit-FPO-Producer'!D13</f>
        <v>87.820140370371476</v>
      </c>
      <c r="C9" s="208">
        <f>'Benefit-FPO-Producer'!E13</f>
        <v>101.24585026666664</v>
      </c>
      <c r="D9" s="208">
        <f>'Benefit-FPO-Producer'!F13</f>
        <v>115.95271421022778</v>
      </c>
      <c r="E9" s="208">
        <f>'Benefit-FPO-Producer'!G13</f>
        <v>135.46758953255198</v>
      </c>
      <c r="F9" s="208">
        <f>'Benefit-FPO-Producer'!H13</f>
        <v>153.44254678251355</v>
      </c>
      <c r="G9" s="208">
        <f>'Benefit-FPO-Producer'!I13</f>
        <v>179.56536980431804</v>
      </c>
      <c r="H9" s="208">
        <f>'Benefit-FPO-Producer'!J13</f>
        <v>201.50059386781606</v>
      </c>
    </row>
    <row r="10" spans="1:8" ht="30.75" customHeight="1" x14ac:dyDescent="0.25">
      <c r="A10" s="203" t="s">
        <v>484</v>
      </c>
      <c r="B10" s="209">
        <f>B9*B4/100000</f>
        <v>2.3711437900000298</v>
      </c>
      <c r="C10" s="209">
        <f t="shared" ref="C10:H10" si="3">C9*C4/100000</f>
        <v>3.0373755079999989</v>
      </c>
      <c r="D10" s="209">
        <f t="shared" si="3"/>
        <v>3.8264395689375177</v>
      </c>
      <c r="E10" s="209">
        <f t="shared" si="3"/>
        <v>4.8768332231718716</v>
      </c>
      <c r="F10" s="209">
        <f t="shared" si="3"/>
        <v>5.9842593245180273</v>
      </c>
      <c r="G10" s="209">
        <f t="shared" si="3"/>
        <v>7.5417455317813573</v>
      </c>
      <c r="H10" s="209">
        <f t="shared" si="3"/>
        <v>9.0675267240517226</v>
      </c>
    </row>
    <row r="11" spans="1:8" x14ac:dyDescent="0.25">
      <c r="A11" s="83"/>
      <c r="B11" s="35"/>
      <c r="C11" s="35"/>
      <c r="D11" s="35"/>
      <c r="E11" s="35"/>
      <c r="F11" s="35"/>
      <c r="G11" s="35"/>
      <c r="H11" s="35"/>
    </row>
    <row r="12" spans="1:8" x14ac:dyDescent="0.25">
      <c r="A12" s="210" t="s">
        <v>491</v>
      </c>
      <c r="B12" s="211">
        <f>'Benefit-FPO-Producer'!D12</f>
        <v>131.73021055555719</v>
      </c>
      <c r="C12" s="211">
        <f>'Benefit-FPO-Producer'!E12</f>
        <v>151.86877539999995</v>
      </c>
      <c r="D12" s="211">
        <f>'Benefit-FPO-Producer'!F12</f>
        <v>173.92907131534167</v>
      </c>
      <c r="E12" s="211">
        <f>'Benefit-FPO-Producer'!G12</f>
        <v>203.20138429882797</v>
      </c>
      <c r="F12" s="211">
        <f>'Benefit-FPO-Producer'!H12</f>
        <v>230.16382017377032</v>
      </c>
      <c r="G12" s="211">
        <f>'Benefit-FPO-Producer'!I12</f>
        <v>269.34805470647706</v>
      </c>
      <c r="H12" s="211">
        <f>'Benefit-FPO-Producer'!J12</f>
        <v>302.2508908017241</v>
      </c>
    </row>
    <row r="13" spans="1:8" ht="30" x14ac:dyDescent="0.25">
      <c r="A13" s="212" t="s">
        <v>485</v>
      </c>
      <c r="B13" s="211">
        <f t="shared" ref="B13:H13" si="4">B4*B12/100000</f>
        <v>3.5567156850000443</v>
      </c>
      <c r="C13" s="211">
        <f t="shared" si="4"/>
        <v>4.5560632619999986</v>
      </c>
      <c r="D13" s="211">
        <f t="shared" si="4"/>
        <v>5.7396593534062754</v>
      </c>
      <c r="E13" s="211">
        <f t="shared" si="4"/>
        <v>7.3152498347578065</v>
      </c>
      <c r="F13" s="211">
        <f t="shared" si="4"/>
        <v>8.9763889867770423</v>
      </c>
      <c r="G13" s="211">
        <f t="shared" si="4"/>
        <v>11.312618297672037</v>
      </c>
      <c r="H13" s="211">
        <f t="shared" si="4"/>
        <v>13.601290086077585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3"/>
      <c r="B15" s="214"/>
      <c r="C15" s="214"/>
      <c r="D15" s="214"/>
      <c r="E15" s="214"/>
      <c r="F15" s="214"/>
      <c r="G15" s="214"/>
      <c r="H15" s="214"/>
    </row>
    <row r="16" spans="1:8" ht="30" x14ac:dyDescent="0.25">
      <c r="A16" s="213" t="s">
        <v>492</v>
      </c>
      <c r="B16" s="214">
        <f>B13+B10</f>
        <v>5.9278594750000746</v>
      </c>
      <c r="C16" s="214">
        <f t="shared" ref="C16:H16" si="5">C13+C10</f>
        <v>7.593438769999997</v>
      </c>
      <c r="D16" s="214">
        <f t="shared" si="5"/>
        <v>9.5660989223437927</v>
      </c>
      <c r="E16" s="214">
        <f t="shared" si="5"/>
        <v>12.192083057929679</v>
      </c>
      <c r="F16" s="214">
        <f t="shared" si="5"/>
        <v>14.960648311295071</v>
      </c>
      <c r="G16" s="214">
        <f t="shared" si="5"/>
        <v>18.854363829453394</v>
      </c>
      <c r="H16" s="214">
        <f t="shared" si="5"/>
        <v>22.668816810129307</v>
      </c>
    </row>
    <row r="17" spans="1:8" x14ac:dyDescent="0.25">
      <c r="A17" s="215" t="s">
        <v>486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487</v>
      </c>
      <c r="B18" s="45">
        <f>B16*B17</f>
        <v>5.4384031880734627</v>
      </c>
      <c r="C18" s="45">
        <f t="shared" ref="C18:H18" si="7">C16*C17</f>
        <v>6.3912454928036331</v>
      </c>
      <c r="D18" s="45">
        <f t="shared" si="7"/>
        <v>7.3867835564638247</v>
      </c>
      <c r="E18" s="45">
        <f t="shared" si="7"/>
        <v>8.6371790136382387</v>
      </c>
      <c r="F18" s="45">
        <f t="shared" si="7"/>
        <v>9.7233948968820023</v>
      </c>
      <c r="G18" s="45">
        <f t="shared" si="7"/>
        <v>11.242241120596351</v>
      </c>
      <c r="H18" s="45">
        <f t="shared" si="7"/>
        <v>12.40061908522058</v>
      </c>
    </row>
    <row r="19" spans="1:8" s="3" customFormat="1" ht="30" x14ac:dyDescent="0.25">
      <c r="A19" s="213" t="s">
        <v>488</v>
      </c>
      <c r="B19" s="11">
        <f>SUM(B18:H18)</f>
        <v>61.2198663536781</v>
      </c>
      <c r="C19" s="8"/>
      <c r="D19" s="8"/>
      <c r="E19" s="8"/>
      <c r="F19" s="8"/>
      <c r="G19" s="8"/>
      <c r="H19" s="8"/>
    </row>
    <row r="20" spans="1:8" x14ac:dyDescent="0.25">
      <c r="A20" s="10" t="s">
        <v>489</v>
      </c>
      <c r="B20" s="45">
        <f>'BEP &amp; DSCR'!B20</f>
        <v>97.1435575</v>
      </c>
      <c r="C20" s="6"/>
      <c r="D20" s="6"/>
      <c r="E20" s="6"/>
      <c r="F20" s="6"/>
      <c r="G20" s="6"/>
      <c r="H20" s="6"/>
    </row>
    <row r="21" spans="1:8" ht="33.75" customHeight="1" x14ac:dyDescent="0.25">
      <c r="A21" s="203" t="s">
        <v>494</v>
      </c>
      <c r="B21" s="201">
        <f>B19-B20</f>
        <v>-35.9236911463219</v>
      </c>
      <c r="C21" s="6"/>
      <c r="D21" s="6"/>
      <c r="E21" s="6"/>
      <c r="F21" s="6"/>
      <c r="G21" s="6"/>
      <c r="H21" s="6"/>
    </row>
    <row r="22" spans="1:8" x14ac:dyDescent="0.25">
      <c r="A22" s="203" t="s">
        <v>490</v>
      </c>
      <c r="B22" s="217">
        <f>IRR(A24:H24)</f>
        <v>-1.1626940017700926E-2</v>
      </c>
      <c r="C22" s="6"/>
      <c r="D22" s="6"/>
      <c r="E22" s="6"/>
      <c r="F22" s="6"/>
      <c r="G22" s="6"/>
      <c r="H22" s="6"/>
    </row>
    <row r="24" spans="1:8" x14ac:dyDescent="0.25">
      <c r="A24" s="216">
        <f>-B20</f>
        <v>-97.1435575</v>
      </c>
      <c r="B24" s="25">
        <f>B16</f>
        <v>5.9278594750000746</v>
      </c>
      <c r="C24" s="25">
        <f t="shared" ref="C24:H24" si="8">C16</f>
        <v>7.593438769999997</v>
      </c>
      <c r="D24" s="25">
        <f t="shared" si="8"/>
        <v>9.5660989223437927</v>
      </c>
      <c r="E24" s="25">
        <f t="shared" si="8"/>
        <v>12.192083057929679</v>
      </c>
      <c r="F24" s="25">
        <f t="shared" si="8"/>
        <v>14.960648311295071</v>
      </c>
      <c r="G24" s="25">
        <f t="shared" si="8"/>
        <v>18.854363829453394</v>
      </c>
      <c r="H24" s="25">
        <f t="shared" si="8"/>
        <v>22.668816810129307</v>
      </c>
    </row>
    <row r="26" spans="1:8" x14ac:dyDescent="0.25">
      <c r="B26" s="8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50" t="s">
        <v>1</v>
      </c>
      <c r="B1" s="250" t="s">
        <v>201</v>
      </c>
      <c r="C1" s="250" t="s">
        <v>214</v>
      </c>
      <c r="D1" s="250" t="s">
        <v>227</v>
      </c>
      <c r="E1" s="250" t="s">
        <v>240</v>
      </c>
      <c r="F1" s="250" t="s">
        <v>253</v>
      </c>
      <c r="G1" s="250" t="s">
        <v>266</v>
      </c>
    </row>
    <row r="2" spans="1:7" x14ac:dyDescent="0.25">
      <c r="A2" s="251" t="s">
        <v>557</v>
      </c>
      <c r="B2" s="252">
        <f>'P&amp;L'!B9</f>
        <v>622.73</v>
      </c>
      <c r="C2" s="252">
        <f>'P&amp;L'!C9</f>
        <v>752.48850000000004</v>
      </c>
      <c r="D2" s="252">
        <f>'P&amp;L'!D9</f>
        <v>868.51330000000007</v>
      </c>
      <c r="E2" s="252">
        <f>'P&amp;L'!E9</f>
        <v>994.71849999999995</v>
      </c>
      <c r="F2" s="252">
        <f>'P&amp;L'!F9</f>
        <v>1132.1507000000001</v>
      </c>
      <c r="G2" s="252">
        <f>'P&amp;L'!G9</f>
        <v>1281.3204000000001</v>
      </c>
    </row>
    <row r="3" spans="1:7" x14ac:dyDescent="0.25">
      <c r="A3" s="251" t="s">
        <v>563</v>
      </c>
      <c r="B3" s="252">
        <f>'P&amp;L'!B14-'P&amp;L'!B9</f>
        <v>27.259999999999991</v>
      </c>
      <c r="C3" s="252">
        <f>'P&amp;L'!C14-'P&amp;L'!C9</f>
        <v>3.7255000000000109</v>
      </c>
      <c r="D3" s="252">
        <f>'P&amp;L'!D14-'P&amp;L'!D9</f>
        <v>4.8600000000000136</v>
      </c>
      <c r="E3" s="252">
        <f>'P&amp;L'!E14-'P&amp;L'!E9</f>
        <v>5.6961999999999762</v>
      </c>
      <c r="F3" s="252">
        <f>'P&amp;L'!F14-'P&amp;L'!F9</f>
        <v>5.7207000000000789</v>
      </c>
      <c r="G3" s="252">
        <f>'P&amp;L'!G14-'P&amp;L'!G9</f>
        <v>6.1930999999999585</v>
      </c>
    </row>
    <row r="4" spans="1:7" x14ac:dyDescent="0.25">
      <c r="A4" s="251" t="s">
        <v>558</v>
      </c>
      <c r="B4" s="253">
        <f>'P&amp;L'!B21+'P&amp;L'!B23+'P&amp;L'!B25-'Opex Schedule'!C18</f>
        <v>633.75623999999982</v>
      </c>
      <c r="C4" s="253">
        <f>'P&amp;L'!C21+'P&amp;L'!C23+'P&amp;L'!C25-'Opex Schedule'!D18</f>
        <v>737.05715000000009</v>
      </c>
      <c r="D4" s="253">
        <f>'P&amp;L'!D21+'P&amp;L'!D23+'P&amp;L'!D25-'Opex Schedule'!E18</f>
        <v>850.09867750000012</v>
      </c>
      <c r="E4" s="253">
        <f>'P&amp;L'!E21+'P&amp;L'!E23+'P&amp;L'!E25-'Opex Schedule'!F18</f>
        <v>972.37840437499995</v>
      </c>
      <c r="F4" s="253">
        <f>'P&amp;L'!F21+'P&amp;L'!F23+'P&amp;L'!F25-'Opex Schedule'!G18</f>
        <v>1104.89385959375</v>
      </c>
      <c r="G4" s="253">
        <f>'P&amp;L'!G21+'P&amp;L'!G23+'P&amp;L'!G25-'Opex Schedule'!H18</f>
        <v>1247.9385805734375</v>
      </c>
    </row>
    <row r="5" spans="1:7" x14ac:dyDescent="0.25">
      <c r="A5" s="251" t="s">
        <v>559</v>
      </c>
      <c r="B5" s="253">
        <f>B2-B4</f>
        <v>-11.026239999999802</v>
      </c>
      <c r="C5" s="253">
        <f t="shared" ref="C5:G5" si="0">C2-C4</f>
        <v>15.431349999999952</v>
      </c>
      <c r="D5" s="253">
        <f t="shared" si="0"/>
        <v>18.41462249999995</v>
      </c>
      <c r="E5" s="253">
        <f t="shared" si="0"/>
        <v>22.340095625000004</v>
      </c>
      <c r="F5" s="253">
        <f t="shared" si="0"/>
        <v>27.256840406250149</v>
      </c>
      <c r="G5" s="253">
        <f t="shared" si="0"/>
        <v>33.381819426562515</v>
      </c>
    </row>
    <row r="6" spans="1:7" x14ac:dyDescent="0.25">
      <c r="A6" s="251" t="s">
        <v>560</v>
      </c>
      <c r="B6" s="252">
        <f>'P&amp;L'!B29+'P&amp;L'!B27</f>
        <v>11.163760000000075</v>
      </c>
      <c r="C6" s="252">
        <f>'P&amp;L'!C29+'P&amp;L'!C27</f>
        <v>13.833350000000028</v>
      </c>
      <c r="D6" s="252">
        <f>'P&amp;L'!D29+'P&amp;L'!D27</f>
        <v>17.68494750000006</v>
      </c>
      <c r="E6" s="252">
        <f>'P&amp;L'!E29+'P&amp;L'!E27</f>
        <v>22.167136874999983</v>
      </c>
      <c r="F6" s="252">
        <f>'P&amp;L'!F29+'P&amp;L'!F27</f>
        <v>26.814923718750208</v>
      </c>
      <c r="G6" s="252">
        <f>'P&amp;L'!G29+'P&amp;L'!G27</f>
        <v>33.104171904687469</v>
      </c>
    </row>
    <row r="7" spans="1:7" x14ac:dyDescent="0.25">
      <c r="A7" s="251" t="s">
        <v>561</v>
      </c>
      <c r="B7" s="252">
        <f>'P&amp;L'!B34</f>
        <v>5.9278594750000746</v>
      </c>
      <c r="C7" s="252">
        <f>'P&amp;L'!C34</f>
        <v>8.1372758750000269</v>
      </c>
      <c r="D7" s="252">
        <f>'P&amp;L'!D34</f>
        <v>11.668673639062561</v>
      </c>
      <c r="E7" s="252">
        <f>'P&amp;L'!E34</f>
        <v>15.775051198828111</v>
      </c>
      <c r="F7" s="252">
        <f>'P&amp;L'!F34</f>
        <v>20.044341429082245</v>
      </c>
      <c r="G7" s="252">
        <f>'P&amp;L'!G34</f>
        <v>25.885083625223601</v>
      </c>
    </row>
    <row r="8" spans="1:7" x14ac:dyDescent="0.25">
      <c r="A8" s="251" t="s">
        <v>562</v>
      </c>
      <c r="B8" s="252">
        <f>'P&amp;L'!B36</f>
        <v>5.9278594750000746</v>
      </c>
      <c r="C8" s="252">
        <f>'P&amp;L'!C36</f>
        <v>7.593438769999997</v>
      </c>
      <c r="D8" s="252">
        <f>'P&amp;L'!D36</f>
        <v>9.5660989223437927</v>
      </c>
      <c r="E8" s="252">
        <f>'P&amp;L'!E36</f>
        <v>12.192083057929677</v>
      </c>
      <c r="F8" s="252">
        <f>'P&amp;L'!F36</f>
        <v>14.960648311295071</v>
      </c>
      <c r="G8" s="252">
        <f>'P&amp;L'!G36</f>
        <v>18.854363829453394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topLeftCell="A23" zoomScale="85" zoomScaleNormal="100" zoomScaleSheetLayoutView="85" workbookViewId="0">
      <selection sqref="A1:K48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31" t="s">
        <v>587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25">
      <c r="A2" s="255" t="s">
        <v>588</v>
      </c>
      <c r="B2" s="255" t="s">
        <v>589</v>
      </c>
      <c r="C2" s="255" t="s">
        <v>590</v>
      </c>
      <c r="D2" s="255" t="s">
        <v>591</v>
      </c>
      <c r="E2" s="255" t="s">
        <v>592</v>
      </c>
      <c r="F2" s="255" t="s">
        <v>593</v>
      </c>
      <c r="G2" s="255" t="s">
        <v>602</v>
      </c>
      <c r="H2" s="255" t="s">
        <v>603</v>
      </c>
      <c r="I2" s="255" t="s">
        <v>604</v>
      </c>
      <c r="J2" s="255" t="s">
        <v>605</v>
      </c>
      <c r="K2" s="255" t="s">
        <v>606</v>
      </c>
    </row>
    <row r="3" spans="1:11" x14ac:dyDescent="0.25">
      <c r="A3" s="256" t="str">
        <f>+'P&amp;L'!A5</f>
        <v xml:space="preserve">Revenue from Sale </v>
      </c>
      <c r="B3" s="269">
        <f>+'P&amp;L'!B5*1.1</f>
        <v>682.03300000000002</v>
      </c>
      <c r="C3" s="269">
        <f>+'P&amp;L'!C5*1.1</f>
        <v>824.17335000000014</v>
      </c>
      <c r="D3" s="269">
        <f>+'P&amp;L'!D5*1.1</f>
        <v>951.13568000000009</v>
      </c>
      <c r="E3" s="269">
        <f>+'P&amp;L'!E5*1.1</f>
        <v>1089.2007500000002</v>
      </c>
      <c r="F3" s="269">
        <f>+'P&amp;L'!F5*1.1</f>
        <v>1239.5313700000002</v>
      </c>
      <c r="G3" s="269">
        <f>+'P&amp;L'!G5*1.1</f>
        <v>1402.6610400000002</v>
      </c>
      <c r="H3" s="269">
        <f>+'P&amp;L'!H5*1.1</f>
        <v>1578.0200700000003</v>
      </c>
      <c r="I3" s="269">
        <f>+'P&amp;L'!I5*1.1</f>
        <v>1661.55429</v>
      </c>
      <c r="J3" s="269">
        <f>+'P&amp;L'!J5*1.1</f>
        <v>1855.6092500000002</v>
      </c>
      <c r="K3" s="269">
        <f>+'P&amp;L'!K5*1.1</f>
        <v>2071.2153000000003</v>
      </c>
    </row>
    <row r="4" spans="1:11" x14ac:dyDescent="0.25">
      <c r="A4" s="256" t="str">
        <f>+'P&amp;L'!A6</f>
        <v>Revenue- Service Charges for Rice Polishing</v>
      </c>
      <c r="B4" s="269">
        <f>+'P&amp;L'!B6*1.1</f>
        <v>2.9700000000000006</v>
      </c>
      <c r="C4" s="269">
        <f>+'P&amp;L'!C6</f>
        <v>3.24</v>
      </c>
      <c r="D4" s="269">
        <f>+'P&amp;L'!D6</f>
        <v>3.8445000000000005</v>
      </c>
      <c r="E4" s="269">
        <f>+'P&amp;L'!E6</f>
        <v>4.5359999999999996</v>
      </c>
      <c r="F4" s="269">
        <f>+'P&amp;L'!F6</f>
        <v>5.3040000000000003</v>
      </c>
      <c r="G4" s="269">
        <f>+'P&amp;L'!G6</f>
        <v>6.1740000000000004</v>
      </c>
      <c r="H4" s="269">
        <f>+'P&amp;L'!H6</f>
        <v>7.1550000000000002</v>
      </c>
      <c r="I4" s="269">
        <f>+'P&amp;L'!I6</f>
        <v>7.7175000000000002</v>
      </c>
      <c r="J4" s="269">
        <f>+'P&amp;L'!J6</f>
        <v>8.8800000000000008</v>
      </c>
      <c r="K4" s="269">
        <f>+'P&amp;L'!K6*1.1</f>
        <v>11.220000000000004</v>
      </c>
    </row>
    <row r="5" spans="1:11" x14ac:dyDescent="0.25">
      <c r="A5" s="256" t="s">
        <v>608</v>
      </c>
      <c r="B5" s="257">
        <f>+'P&amp;L'!B12-'P&amp;L'!B11</f>
        <v>27.26</v>
      </c>
      <c r="C5" s="257">
        <f>+'P&amp;L'!C12-'P&amp;L'!C11</f>
        <v>3.7254999999999967</v>
      </c>
      <c r="D5" s="257">
        <f>+'P&amp;L'!D12-'P&amp;L'!D11</f>
        <v>4.860000000000003</v>
      </c>
      <c r="E5" s="257">
        <f>+'P&amp;L'!E12-'P&amp;L'!E11</f>
        <v>5.6962000000000046</v>
      </c>
      <c r="F5" s="257">
        <f>+'P&amp;L'!F12-'P&amp;L'!F11</f>
        <v>5.7206999999999937</v>
      </c>
      <c r="G5" s="257">
        <f>+'P&amp;L'!G12-'P&amp;L'!G11</f>
        <v>6.1930999999999941</v>
      </c>
      <c r="H5" s="257">
        <f>+'P&amp;L'!H12-'P&amp;L'!H11</f>
        <v>6.6927000000000092</v>
      </c>
      <c r="I5" s="257">
        <f>+'P&amp;L'!I12-'P&amp;L'!I11</f>
        <v>3.007000000000005</v>
      </c>
      <c r="J5" s="257">
        <f>+'P&amp;L'!J12-'P&amp;L'!J11</f>
        <v>7.7991999999999848</v>
      </c>
      <c r="K5" s="257">
        <f>+'P&amp;L'!K12-'P&amp;L'!K11</f>
        <v>7.4225000000000136</v>
      </c>
    </row>
    <row r="6" spans="1:11" x14ac:dyDescent="0.25">
      <c r="A6" s="255" t="s">
        <v>594</v>
      </c>
      <c r="B6" s="258">
        <f>SUM(B3:B5)</f>
        <v>712.26300000000003</v>
      </c>
      <c r="C6" s="258">
        <f>SUM(C3:C5)</f>
        <v>831.13885000000016</v>
      </c>
      <c r="D6" s="258">
        <f>SUM(D3:D5)</f>
        <v>959.84018000000015</v>
      </c>
      <c r="E6" s="258">
        <f>SUM(E3:E5)</f>
        <v>1099.4329500000003</v>
      </c>
      <c r="F6" s="258">
        <f>SUM(F3:F5)</f>
        <v>1250.5560700000003</v>
      </c>
      <c r="G6" s="258">
        <f t="shared" ref="G6:K6" si="0">SUM(G3:G5)</f>
        <v>1415.0281400000001</v>
      </c>
      <c r="H6" s="258">
        <f t="shared" si="0"/>
        <v>1591.8677700000003</v>
      </c>
      <c r="I6" s="258">
        <f t="shared" si="0"/>
        <v>1672.2787900000001</v>
      </c>
      <c r="J6" s="258">
        <f t="shared" si="0"/>
        <v>1872.2884500000002</v>
      </c>
      <c r="K6" s="258">
        <f t="shared" si="0"/>
        <v>2089.8578000000002</v>
      </c>
    </row>
    <row r="7" spans="1:11" x14ac:dyDescent="0.25">
      <c r="A7" s="255" t="s">
        <v>595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</row>
    <row r="8" spans="1:11" x14ac:dyDescent="0.25">
      <c r="A8" s="263" t="s">
        <v>607</v>
      </c>
      <c r="B8" s="257">
        <f>+'P&amp;L'!B21*1.1</f>
        <v>671.22</v>
      </c>
      <c r="C8" s="257">
        <f>+'P&amp;L'!C21*1.1</f>
        <v>781.69784000000004</v>
      </c>
      <c r="D8" s="257">
        <f>+'P&amp;L'!D21*1.1</f>
        <v>902.77209000000005</v>
      </c>
      <c r="E8" s="257">
        <f>+'P&amp;L'!E21*1.1</f>
        <v>1034.04609</v>
      </c>
      <c r="F8" s="257">
        <f>+'P&amp;L'!F21*1.1</f>
        <v>1176.3015</v>
      </c>
      <c r="G8" s="257">
        <f>+'P&amp;L'!G21*1.1</f>
        <v>1330.1887500000003</v>
      </c>
      <c r="H8" s="257">
        <f>+'P&amp;L'!H21*1.1</f>
        <v>1496.3196600000001</v>
      </c>
      <c r="I8" s="257">
        <f>+'P&amp;L'!I21*1.1</f>
        <v>1570.9669799999999</v>
      </c>
      <c r="J8" s="257">
        <f>+'P&amp;L'!J21*1.1</f>
        <v>1759.7038800000003</v>
      </c>
      <c r="K8" s="257">
        <f>+'P&amp;L'!K21*1.1</f>
        <v>1963.1920000000002</v>
      </c>
    </row>
    <row r="9" spans="1:11" x14ac:dyDescent="0.25">
      <c r="A9" s="256" t="s">
        <v>596</v>
      </c>
      <c r="B9" s="257">
        <f>+'P&amp;L'!B23</f>
        <v>9.4050000000000011</v>
      </c>
      <c r="C9" s="257">
        <f>+'P&amp;L'!C23</f>
        <v>9.8752500000000012</v>
      </c>
      <c r="D9" s="257">
        <f>+'P&amp;L'!D23</f>
        <v>10.3690125</v>
      </c>
      <c r="E9" s="257">
        <f>+'P&amp;L'!E23</f>
        <v>10.887463125000004</v>
      </c>
      <c r="F9" s="257">
        <f>+'P&amp;L'!F23</f>
        <v>11.431836281250003</v>
      </c>
      <c r="G9" s="257">
        <f>+'P&amp;L'!G23</f>
        <v>12.003428095312501</v>
      </c>
      <c r="H9" s="257">
        <f>+'P&amp;L'!H23</f>
        <v>12.603599500078129</v>
      </c>
      <c r="I9" s="257">
        <f>+'P&amp;L'!I23</f>
        <v>13.233779475082034</v>
      </c>
      <c r="J9" s="257">
        <f>+'P&amp;L'!J23</f>
        <v>13.895468448836136</v>
      </c>
      <c r="K9" s="257">
        <f>+'P&amp;L'!K23</f>
        <v>14.590241871277945</v>
      </c>
    </row>
    <row r="10" spans="1:11" x14ac:dyDescent="0.25">
      <c r="A10" s="256" t="s">
        <v>340</v>
      </c>
      <c r="B10" s="257">
        <f>+'P&amp;L'!B25</f>
        <v>19.221240000000002</v>
      </c>
      <c r="C10" s="257">
        <f>+'P&amp;L'!C25</f>
        <v>21.870999999999999</v>
      </c>
      <c r="D10" s="257">
        <f>+'P&amp;L'!D25</f>
        <v>24.617440000000006</v>
      </c>
      <c r="E10" s="257">
        <f>+'P&amp;L'!E25</f>
        <v>27.318199999999997</v>
      </c>
      <c r="F10" s="257">
        <f>+'P&amp;L'!F25</f>
        <v>30.259640000000005</v>
      </c>
      <c r="G10" s="257">
        <f>+'P&amp;L'!G25</f>
        <v>33.143400000000007</v>
      </c>
      <c r="H10" s="257">
        <f>+'P&amp;L'!H25</f>
        <v>36.26784</v>
      </c>
      <c r="I10" s="257">
        <f>+'P&amp;L'!I25</f>
        <v>36.28584</v>
      </c>
      <c r="J10" s="257">
        <f>+'P&amp;L'!J25</f>
        <v>38.5886</v>
      </c>
      <c r="K10" s="257">
        <f>+'P&amp;L'!K25</f>
        <v>41.081040000000002</v>
      </c>
    </row>
    <row r="11" spans="1:11" x14ac:dyDescent="0.25">
      <c r="A11" s="255" t="s">
        <v>597</v>
      </c>
      <c r="B11" s="258">
        <f>SUM(B8:B10)</f>
        <v>699.84623999999997</v>
      </c>
      <c r="C11" s="258">
        <f t="shared" ref="C11:K11" si="1">SUM(C8:C10)</f>
        <v>813.44409000000007</v>
      </c>
      <c r="D11" s="258">
        <f t="shared" si="1"/>
        <v>937.75854250000009</v>
      </c>
      <c r="E11" s="258">
        <f t="shared" si="1"/>
        <v>1072.2517531250001</v>
      </c>
      <c r="F11" s="258">
        <f t="shared" si="1"/>
        <v>1217.9929762812501</v>
      </c>
      <c r="G11" s="258">
        <f t="shared" si="1"/>
        <v>1375.3355780953127</v>
      </c>
      <c r="H11" s="258">
        <f t="shared" si="1"/>
        <v>1545.1910995000783</v>
      </c>
      <c r="I11" s="258">
        <f t="shared" si="1"/>
        <v>1620.4865994750819</v>
      </c>
      <c r="J11" s="258">
        <f t="shared" si="1"/>
        <v>1812.1879484488363</v>
      </c>
      <c r="K11" s="258">
        <f t="shared" si="1"/>
        <v>2018.8632818712781</v>
      </c>
    </row>
    <row r="12" spans="1:11" x14ac:dyDescent="0.25">
      <c r="A12" s="259" t="s">
        <v>598</v>
      </c>
      <c r="B12" s="260">
        <f>B6-B11</f>
        <v>12.416760000000068</v>
      </c>
      <c r="C12" s="260">
        <f>C6-C11</f>
        <v>17.694760000000088</v>
      </c>
      <c r="D12" s="260">
        <f>D6-D11</f>
        <v>22.081637500000056</v>
      </c>
      <c r="E12" s="260">
        <f>E6-E11</f>
        <v>27.181196875000296</v>
      </c>
      <c r="F12" s="260">
        <f>F6-F11</f>
        <v>32.563093718750224</v>
      </c>
      <c r="G12" s="260">
        <f t="shared" ref="G12:K12" si="2">G6-G11</f>
        <v>39.692561904687409</v>
      </c>
      <c r="H12" s="260">
        <f t="shared" si="2"/>
        <v>46.676670499922011</v>
      </c>
      <c r="I12" s="260">
        <f t="shared" si="2"/>
        <v>51.792190524918169</v>
      </c>
      <c r="J12" s="260">
        <f t="shared" si="2"/>
        <v>60.100501551163916</v>
      </c>
      <c r="K12" s="260">
        <f t="shared" si="2"/>
        <v>70.99451812872212</v>
      </c>
    </row>
    <row r="13" spans="1:11" x14ac:dyDescent="0.25">
      <c r="A13" s="261"/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x14ac:dyDescent="0.25">
      <c r="A14" s="255" t="s">
        <v>599</v>
      </c>
      <c r="B14" s="258" t="s">
        <v>589</v>
      </c>
      <c r="C14" s="258" t="s">
        <v>590</v>
      </c>
      <c r="D14" s="258" t="s">
        <v>591</v>
      </c>
      <c r="E14" s="258" t="s">
        <v>592</v>
      </c>
      <c r="F14" s="258" t="s">
        <v>593</v>
      </c>
      <c r="G14" s="258" t="s">
        <v>593</v>
      </c>
      <c r="H14" s="258" t="s">
        <v>593</v>
      </c>
      <c r="I14" s="258" t="s">
        <v>593</v>
      </c>
      <c r="J14" s="258" t="s">
        <v>593</v>
      </c>
      <c r="K14" s="258" t="s">
        <v>593</v>
      </c>
    </row>
    <row r="15" spans="1:11" x14ac:dyDescent="0.25">
      <c r="A15" s="256" t="str">
        <f>+A3</f>
        <v xml:space="preserve">Revenue from Sale </v>
      </c>
      <c r="B15" s="257">
        <f>+'P&amp;L'!B5</f>
        <v>620.03</v>
      </c>
      <c r="C15" s="257">
        <f>+'P&amp;L'!C5</f>
        <v>749.24850000000004</v>
      </c>
      <c r="D15" s="257">
        <f>+'P&amp;L'!D5</f>
        <v>864.66880000000003</v>
      </c>
      <c r="E15" s="257">
        <f>+'P&amp;L'!E5</f>
        <v>990.1825</v>
      </c>
      <c r="F15" s="257">
        <f>+'P&amp;L'!F5</f>
        <v>1126.8467000000001</v>
      </c>
      <c r="G15" s="257">
        <f>+'P&amp;L'!G5</f>
        <v>1275.1464000000001</v>
      </c>
      <c r="H15" s="257">
        <f>+'P&amp;L'!H5</f>
        <v>1434.5637000000002</v>
      </c>
      <c r="I15" s="257">
        <f>+'P&amp;L'!I5</f>
        <v>1510.5038999999999</v>
      </c>
      <c r="J15" s="257">
        <f>+'P&amp;L'!J5</f>
        <v>1686.9175</v>
      </c>
      <c r="K15" s="257">
        <f>+'P&amp;L'!K5</f>
        <v>1882.923</v>
      </c>
    </row>
    <row r="16" spans="1:11" x14ac:dyDescent="0.25">
      <c r="A16" s="256" t="str">
        <f>+A4</f>
        <v>Revenue- Service Charges for Rice Polishing</v>
      </c>
      <c r="B16" s="257">
        <f>+'P&amp;L'!B6</f>
        <v>2.7</v>
      </c>
      <c r="C16" s="257">
        <f>+'P&amp;L'!C6</f>
        <v>3.24</v>
      </c>
      <c r="D16" s="257">
        <f>+'P&amp;L'!D6</f>
        <v>3.8445000000000005</v>
      </c>
      <c r="E16" s="257">
        <f>+'P&amp;L'!E6</f>
        <v>4.5359999999999996</v>
      </c>
      <c r="F16" s="257">
        <f>+'P&amp;L'!F6</f>
        <v>5.3040000000000003</v>
      </c>
      <c r="G16" s="257">
        <f>+'P&amp;L'!G6</f>
        <v>6.1740000000000004</v>
      </c>
      <c r="H16" s="257">
        <f>+'P&amp;L'!H6</f>
        <v>7.1550000000000002</v>
      </c>
      <c r="I16" s="257">
        <f>+'P&amp;L'!I6</f>
        <v>7.7175000000000002</v>
      </c>
      <c r="J16" s="257">
        <f>+'P&amp;L'!J6</f>
        <v>8.8800000000000008</v>
      </c>
      <c r="K16" s="257">
        <f>+'P&amp;L'!K6</f>
        <v>10.200000000000003</v>
      </c>
    </row>
    <row r="17" spans="1:11" x14ac:dyDescent="0.25">
      <c r="A17" s="256" t="str">
        <f>+A5</f>
        <v>Change in Closing Stock of FG</v>
      </c>
      <c r="B17" s="257">
        <f>+'P&amp;L'!B12-'P&amp;L'!B11</f>
        <v>27.26</v>
      </c>
      <c r="C17" s="257">
        <f>+'P&amp;L'!C12-'P&amp;L'!C11</f>
        <v>3.7254999999999967</v>
      </c>
      <c r="D17" s="257">
        <f>+'P&amp;L'!D12-'P&amp;L'!D11</f>
        <v>4.860000000000003</v>
      </c>
      <c r="E17" s="257">
        <f>+'P&amp;L'!E12-'P&amp;L'!E11</f>
        <v>5.6962000000000046</v>
      </c>
      <c r="F17" s="257">
        <f>+'P&amp;L'!F12-'P&amp;L'!F11</f>
        <v>5.7206999999999937</v>
      </c>
      <c r="G17" s="257">
        <f>+'P&amp;L'!G12-'P&amp;L'!G11</f>
        <v>6.1930999999999941</v>
      </c>
      <c r="H17" s="257">
        <f>+'P&amp;L'!H12-'P&amp;L'!H11</f>
        <v>6.6927000000000092</v>
      </c>
      <c r="I17" s="257">
        <f>+'P&amp;L'!I12-'P&amp;L'!I11</f>
        <v>3.007000000000005</v>
      </c>
      <c r="J17" s="257">
        <f>+'P&amp;L'!J12-'P&amp;L'!J11</f>
        <v>7.7991999999999848</v>
      </c>
      <c r="K17" s="257">
        <f>+'P&amp;L'!K12-'P&amp;L'!K11</f>
        <v>7.4225000000000136</v>
      </c>
    </row>
    <row r="18" spans="1:11" x14ac:dyDescent="0.25">
      <c r="A18" s="255" t="s">
        <v>594</v>
      </c>
      <c r="B18" s="258">
        <f>SUM(B15:B17)</f>
        <v>649.99</v>
      </c>
      <c r="C18" s="258">
        <f>SUM(C15:C17)</f>
        <v>756.21400000000006</v>
      </c>
      <c r="D18" s="258">
        <f>SUM(D15:D17)</f>
        <v>873.37330000000009</v>
      </c>
      <c r="E18" s="258">
        <f>SUM(E15:E17)</f>
        <v>1000.4146999999999</v>
      </c>
      <c r="F18" s="258">
        <f>SUM(F15:F17)</f>
        <v>1137.8714000000002</v>
      </c>
      <c r="G18" s="258">
        <f t="shared" ref="G18:K18" si="3">SUM(G15:G17)</f>
        <v>1287.5135</v>
      </c>
      <c r="H18" s="258">
        <f t="shared" si="3"/>
        <v>1448.4114000000002</v>
      </c>
      <c r="I18" s="258">
        <f t="shared" si="3"/>
        <v>1521.2284</v>
      </c>
      <c r="J18" s="258">
        <f t="shared" si="3"/>
        <v>1703.5967000000001</v>
      </c>
      <c r="K18" s="258">
        <f t="shared" si="3"/>
        <v>1900.5455000000002</v>
      </c>
    </row>
    <row r="19" spans="1:11" x14ac:dyDescent="0.25">
      <c r="A19" s="255" t="s">
        <v>595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</row>
    <row r="20" spans="1:11" x14ac:dyDescent="0.25">
      <c r="A20" s="263" t="s">
        <v>607</v>
      </c>
      <c r="B20" s="257">
        <f>+'P&amp;L'!B21*1.1</f>
        <v>671.22</v>
      </c>
      <c r="C20" s="257">
        <f>+'P&amp;L'!C21*1.1</f>
        <v>781.69784000000004</v>
      </c>
      <c r="D20" s="257">
        <f>+'P&amp;L'!D21*1.1</f>
        <v>902.77209000000005</v>
      </c>
      <c r="E20" s="257">
        <f>+'P&amp;L'!E21*1.1</f>
        <v>1034.04609</v>
      </c>
      <c r="F20" s="257">
        <f>+'P&amp;L'!F21*1.1</f>
        <v>1176.3015</v>
      </c>
      <c r="G20" s="257">
        <f>+'P&amp;L'!G21*1.1</f>
        <v>1330.1887500000003</v>
      </c>
      <c r="H20" s="257">
        <f>+'P&amp;L'!H21*1.1</f>
        <v>1496.3196600000001</v>
      </c>
      <c r="I20" s="257">
        <f>+'P&amp;L'!I21*1.1</f>
        <v>1570.9669799999999</v>
      </c>
      <c r="J20" s="257">
        <f>+'P&amp;L'!J21*1.1</f>
        <v>1759.7038800000003</v>
      </c>
      <c r="K20" s="257">
        <f>+'P&amp;L'!K21*1.1</f>
        <v>1963.1920000000002</v>
      </c>
    </row>
    <row r="21" spans="1:11" x14ac:dyDescent="0.25">
      <c r="A21" s="256" t="s">
        <v>596</v>
      </c>
      <c r="B21" s="257">
        <f>+'P&amp;L'!B23*1.1</f>
        <v>10.345500000000001</v>
      </c>
      <c r="C21" s="257">
        <f>+'P&amp;L'!C23*1.1</f>
        <v>10.862775000000003</v>
      </c>
      <c r="D21" s="257">
        <f>+'P&amp;L'!D23*1.1</f>
        <v>11.405913750000002</v>
      </c>
      <c r="E21" s="257">
        <f>+'P&amp;L'!E23*1.1</f>
        <v>11.976209437500005</v>
      </c>
      <c r="F21" s="257">
        <f>+'P&amp;L'!F23*1.1</f>
        <v>12.575019909375005</v>
      </c>
      <c r="G21" s="257">
        <f>+'P&amp;L'!G23*1.1</f>
        <v>13.203770904843752</v>
      </c>
      <c r="H21" s="257">
        <f>+'P&amp;L'!H23*1.1</f>
        <v>13.863959450085943</v>
      </c>
      <c r="I21" s="257">
        <f>+'P&amp;L'!I23*1.1</f>
        <v>14.557157422590238</v>
      </c>
      <c r="J21" s="257">
        <f>+'P&amp;L'!J23*1.1</f>
        <v>15.28501529371975</v>
      </c>
      <c r="K21" s="257">
        <f>+'P&amp;L'!K23*1.1</f>
        <v>16.049266058405742</v>
      </c>
    </row>
    <row r="22" spans="1:11" x14ac:dyDescent="0.25">
      <c r="A22" s="256" t="s">
        <v>340</v>
      </c>
      <c r="B22" s="257">
        <f>+'P&amp;L'!B25*1.1</f>
        <v>21.143364000000002</v>
      </c>
      <c r="C22" s="257">
        <f>+'P&amp;L'!C25*1.1</f>
        <v>24.0581</v>
      </c>
      <c r="D22" s="257">
        <f>+'P&amp;L'!D25*1.1</f>
        <v>27.079184000000009</v>
      </c>
      <c r="E22" s="257">
        <f>+'P&amp;L'!E25*1.1</f>
        <v>30.05002</v>
      </c>
      <c r="F22" s="257">
        <f>+'P&amp;L'!F25*1.1</f>
        <v>33.285604000000006</v>
      </c>
      <c r="G22" s="257">
        <f>+'P&amp;L'!G25*1.1</f>
        <v>36.457740000000008</v>
      </c>
      <c r="H22" s="257">
        <f>+'P&amp;L'!H25*1.1</f>
        <v>39.894624</v>
      </c>
      <c r="I22" s="257">
        <f>+'P&amp;L'!I25*1.1</f>
        <v>39.914424000000004</v>
      </c>
      <c r="J22" s="257">
        <f>+'P&amp;L'!J25*1.1</f>
        <v>42.44746</v>
      </c>
      <c r="K22" s="257">
        <f>+'P&amp;L'!K25*1.1</f>
        <v>45.189144000000006</v>
      </c>
    </row>
    <row r="23" spans="1:11" x14ac:dyDescent="0.25">
      <c r="A23" s="255" t="s">
        <v>597</v>
      </c>
      <c r="B23" s="258">
        <f>SUM(B20:B22)</f>
        <v>702.70886400000006</v>
      </c>
      <c r="C23" s="258">
        <f t="shared" ref="C23:K23" si="4">SUM(C20:C22)</f>
        <v>816.61871500000007</v>
      </c>
      <c r="D23" s="258">
        <f t="shared" si="4"/>
        <v>941.25718775000007</v>
      </c>
      <c r="E23" s="258">
        <f t="shared" si="4"/>
        <v>1076.0723194375</v>
      </c>
      <c r="F23" s="258">
        <f t="shared" si="4"/>
        <v>1222.1621239093749</v>
      </c>
      <c r="G23" s="258">
        <f t="shared" si="4"/>
        <v>1379.8502609048442</v>
      </c>
      <c r="H23" s="258">
        <f t="shared" si="4"/>
        <v>1550.0782434500861</v>
      </c>
      <c r="I23" s="258">
        <f t="shared" si="4"/>
        <v>1625.4385614225903</v>
      </c>
      <c r="J23" s="258">
        <f t="shared" si="4"/>
        <v>1817.43635529372</v>
      </c>
      <c r="K23" s="258">
        <f t="shared" si="4"/>
        <v>2024.4304100584059</v>
      </c>
    </row>
    <row r="24" spans="1:11" x14ac:dyDescent="0.25">
      <c r="A24" s="259" t="s">
        <v>598</v>
      </c>
      <c r="B24" s="260">
        <f>B18-B23</f>
        <v>-52.718864000000053</v>
      </c>
      <c r="C24" s="260">
        <f>C18-C23</f>
        <v>-60.40471500000001</v>
      </c>
      <c r="D24" s="260">
        <f>D18-D23</f>
        <v>-67.883887749999985</v>
      </c>
      <c r="E24" s="260">
        <f>E18-E23</f>
        <v>-75.657619437500102</v>
      </c>
      <c r="F24" s="260">
        <f>F18-F23</f>
        <v>-84.290723909374719</v>
      </c>
      <c r="G24" s="260">
        <f t="shared" ref="G24:K24" si="5">G18-G23</f>
        <v>-92.336760904844141</v>
      </c>
      <c r="H24" s="260">
        <f t="shared" si="5"/>
        <v>-101.66684345008593</v>
      </c>
      <c r="I24" s="260">
        <f t="shared" si="5"/>
        <v>-104.21016142259032</v>
      </c>
      <c r="J24" s="260">
        <f t="shared" si="5"/>
        <v>-113.83965529371994</v>
      </c>
      <c r="K24" s="260">
        <f t="shared" si="5"/>
        <v>-123.88491005840569</v>
      </c>
    </row>
    <row r="25" spans="1:11" x14ac:dyDescent="0.25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2"/>
    </row>
    <row r="26" spans="1:11" x14ac:dyDescent="0.25">
      <c r="A26" s="255" t="s">
        <v>600</v>
      </c>
      <c r="B26" s="258" t="s">
        <v>589</v>
      </c>
      <c r="C26" s="258" t="s">
        <v>590</v>
      </c>
      <c r="D26" s="258" t="s">
        <v>591</v>
      </c>
      <c r="E26" s="258" t="s">
        <v>592</v>
      </c>
      <c r="F26" s="258" t="s">
        <v>593</v>
      </c>
      <c r="G26" s="258" t="s">
        <v>593</v>
      </c>
      <c r="H26" s="258" t="s">
        <v>593</v>
      </c>
      <c r="I26" s="258" t="s">
        <v>593</v>
      </c>
      <c r="J26" s="258" t="s">
        <v>593</v>
      </c>
      <c r="K26" s="258" t="s">
        <v>593</v>
      </c>
    </row>
    <row r="27" spans="1:11" x14ac:dyDescent="0.25">
      <c r="A27" s="256" t="str">
        <f>+A15</f>
        <v xml:space="preserve">Revenue from Sale </v>
      </c>
      <c r="B27" s="257">
        <f>+'P&amp;L'!B5*0.9</f>
        <v>558.02700000000004</v>
      </c>
      <c r="C27" s="257">
        <f>+'P&amp;L'!C5*0.9</f>
        <v>674.32365000000004</v>
      </c>
      <c r="D27" s="257">
        <f>+'P&amp;L'!D5*0.9</f>
        <v>778.20192000000009</v>
      </c>
      <c r="E27" s="257">
        <f>+'P&amp;L'!E5*0.9</f>
        <v>891.16425000000004</v>
      </c>
      <c r="F27" s="257">
        <f>+'P&amp;L'!F5*0.9</f>
        <v>1014.1620300000001</v>
      </c>
      <c r="G27" s="257">
        <f>+'P&amp;L'!G5*0.9</f>
        <v>1147.6317600000002</v>
      </c>
      <c r="H27" s="257">
        <f>+'P&amp;L'!H5*0.9</f>
        <v>1291.1073300000003</v>
      </c>
      <c r="I27" s="257">
        <f>+'P&amp;L'!I5*0.9</f>
        <v>1359.4535100000001</v>
      </c>
      <c r="J27" s="257">
        <f>+'P&amp;L'!J5*0.9</f>
        <v>1518.2257500000001</v>
      </c>
      <c r="K27" s="257">
        <f>+'P&amp;L'!K5*0.9</f>
        <v>1694.6306999999999</v>
      </c>
    </row>
    <row r="28" spans="1:11" x14ac:dyDescent="0.25">
      <c r="A28" s="256" t="str">
        <f>+A16</f>
        <v>Revenue- Service Charges for Rice Polishing</v>
      </c>
      <c r="B28" s="257">
        <f>+'P&amp;L'!B6*0.9</f>
        <v>2.4300000000000002</v>
      </c>
      <c r="C28" s="257">
        <f>+'P&amp;L'!C6*0.9</f>
        <v>2.9160000000000004</v>
      </c>
      <c r="D28" s="257">
        <f>+'P&amp;L'!D6*0.9</f>
        <v>3.4600500000000003</v>
      </c>
      <c r="E28" s="257">
        <f>+'P&amp;L'!E6*0.9</f>
        <v>4.0823999999999998</v>
      </c>
      <c r="F28" s="257">
        <f>+'P&amp;L'!F6*0.9</f>
        <v>4.7736000000000001</v>
      </c>
      <c r="G28" s="257">
        <f>+'P&amp;L'!G6*0.9</f>
        <v>5.5566000000000004</v>
      </c>
      <c r="H28" s="257">
        <f>+'P&amp;L'!H6*0.9</f>
        <v>6.4395000000000007</v>
      </c>
      <c r="I28" s="257">
        <f>+'P&amp;L'!I6*0.9</f>
        <v>6.9457500000000003</v>
      </c>
      <c r="J28" s="257">
        <f>+'P&amp;L'!J6*0.9</f>
        <v>7.9920000000000009</v>
      </c>
      <c r="K28" s="257">
        <f>+'P&amp;L'!K6*0.9</f>
        <v>9.1800000000000033</v>
      </c>
    </row>
    <row r="29" spans="1:11" x14ac:dyDescent="0.25">
      <c r="A29" s="256" t="str">
        <f>+A17</f>
        <v>Change in Closing Stock of FG</v>
      </c>
      <c r="B29" s="257">
        <f>+'P&amp;L'!B12-'P&amp;L'!B11</f>
        <v>27.26</v>
      </c>
      <c r="C29" s="257">
        <f>+'P&amp;L'!C12-'P&amp;L'!C11</f>
        <v>3.7254999999999967</v>
      </c>
      <c r="D29" s="257">
        <f>+'P&amp;L'!D12-'P&amp;L'!D11</f>
        <v>4.860000000000003</v>
      </c>
      <c r="E29" s="257">
        <f>+'P&amp;L'!E12-'P&amp;L'!E11</f>
        <v>5.6962000000000046</v>
      </c>
      <c r="F29" s="257">
        <f>+'P&amp;L'!F12-'P&amp;L'!F11</f>
        <v>5.7206999999999937</v>
      </c>
      <c r="G29" s="257">
        <f>+'P&amp;L'!G12-'P&amp;L'!G11</f>
        <v>6.1930999999999941</v>
      </c>
      <c r="H29" s="257">
        <f>+'P&amp;L'!H12-'P&amp;L'!H11</f>
        <v>6.6927000000000092</v>
      </c>
      <c r="I29" s="257">
        <f>+'P&amp;L'!I12-'P&amp;L'!I11</f>
        <v>3.007000000000005</v>
      </c>
      <c r="J29" s="257">
        <f>+'P&amp;L'!J12-'P&amp;L'!J11</f>
        <v>7.7991999999999848</v>
      </c>
      <c r="K29" s="257">
        <f>+'P&amp;L'!K12-'P&amp;L'!K11</f>
        <v>7.4225000000000136</v>
      </c>
    </row>
    <row r="30" spans="1:11" x14ac:dyDescent="0.25">
      <c r="A30" s="255" t="s">
        <v>594</v>
      </c>
      <c r="B30" s="258">
        <f>SUM(B27:B29)</f>
        <v>587.71699999999998</v>
      </c>
      <c r="C30" s="258">
        <f>SUM(C27:C29)</f>
        <v>680.96515000000011</v>
      </c>
      <c r="D30" s="258">
        <f>SUM(D27:D29)</f>
        <v>786.52197000000012</v>
      </c>
      <c r="E30" s="258">
        <f>SUM(E27:E29)</f>
        <v>900.94285000000002</v>
      </c>
      <c r="F30" s="258">
        <f>SUM(F27:F29)</f>
        <v>1024.65633</v>
      </c>
      <c r="G30" s="258">
        <f t="shared" ref="G30:K30" si="6">SUM(G27:G29)</f>
        <v>1159.3814600000001</v>
      </c>
      <c r="H30" s="258">
        <f t="shared" si="6"/>
        <v>1304.2395300000003</v>
      </c>
      <c r="I30" s="258">
        <f t="shared" si="6"/>
        <v>1369.4062600000002</v>
      </c>
      <c r="J30" s="258">
        <f t="shared" si="6"/>
        <v>1534.01695</v>
      </c>
      <c r="K30" s="258">
        <f t="shared" si="6"/>
        <v>1711.2332000000001</v>
      </c>
    </row>
    <row r="31" spans="1:11" x14ac:dyDescent="0.25">
      <c r="A31" s="255" t="s">
        <v>595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</row>
    <row r="32" spans="1:11" x14ac:dyDescent="0.25">
      <c r="A32" s="263" t="s">
        <v>607</v>
      </c>
      <c r="B32" s="257">
        <f>+'P&amp;L'!B21*0.9</f>
        <v>549.17999999999995</v>
      </c>
      <c r="C32" s="257">
        <f>+'P&amp;L'!C21*0.9</f>
        <v>639.57096000000001</v>
      </c>
      <c r="D32" s="257">
        <f>+'P&amp;L'!D21*0.9</f>
        <v>738.63171</v>
      </c>
      <c r="E32" s="257">
        <f>+'P&amp;L'!E21*0.9</f>
        <v>846.03770999999995</v>
      </c>
      <c r="F32" s="257">
        <f>+'P&amp;L'!F21*0.9</f>
        <v>962.42849999999999</v>
      </c>
      <c r="G32" s="257">
        <f>+'P&amp;L'!G21*0.9</f>
        <v>1088.3362500000001</v>
      </c>
      <c r="H32" s="257">
        <f>+'P&amp;L'!H21*0.9</f>
        <v>1224.26154</v>
      </c>
      <c r="I32" s="257">
        <f>+'P&amp;L'!I21*0.9</f>
        <v>1285.3366199999998</v>
      </c>
      <c r="J32" s="257">
        <f>+'P&amp;L'!J21*0.9</f>
        <v>1439.7577200000001</v>
      </c>
      <c r="K32" s="257">
        <f>+'P&amp;L'!K21*0.9</f>
        <v>1606.248</v>
      </c>
    </row>
    <row r="33" spans="1:11" x14ac:dyDescent="0.25">
      <c r="A33" s="256" t="s">
        <v>596</v>
      </c>
      <c r="B33" s="257">
        <f>+'P&amp;L'!B23</f>
        <v>9.4050000000000011</v>
      </c>
      <c r="C33" s="257">
        <f>+'P&amp;L'!C23</f>
        <v>9.8752500000000012</v>
      </c>
      <c r="D33" s="257">
        <f>+'P&amp;L'!D23</f>
        <v>10.3690125</v>
      </c>
      <c r="E33" s="257">
        <f>+'P&amp;L'!E23</f>
        <v>10.887463125000004</v>
      </c>
      <c r="F33" s="257">
        <f>+'P&amp;L'!F23</f>
        <v>11.431836281250003</v>
      </c>
      <c r="G33" s="257">
        <f>+'P&amp;L'!G23</f>
        <v>12.003428095312501</v>
      </c>
      <c r="H33" s="257">
        <f>+'P&amp;L'!H23</f>
        <v>12.603599500078129</v>
      </c>
      <c r="I33" s="257">
        <f>+'P&amp;L'!I23</f>
        <v>13.233779475082034</v>
      </c>
      <c r="J33" s="257">
        <f>+'P&amp;L'!J23</f>
        <v>13.895468448836136</v>
      </c>
      <c r="K33" s="257">
        <f>+'P&amp;L'!K23</f>
        <v>14.590241871277945</v>
      </c>
    </row>
    <row r="34" spans="1:11" x14ac:dyDescent="0.25">
      <c r="A34" s="256" t="s">
        <v>340</v>
      </c>
      <c r="B34" s="257">
        <f>+'P&amp;L'!B25</f>
        <v>19.221240000000002</v>
      </c>
      <c r="C34" s="257">
        <f>+'P&amp;L'!C25</f>
        <v>21.870999999999999</v>
      </c>
      <c r="D34" s="257">
        <f>+'P&amp;L'!D25</f>
        <v>24.617440000000006</v>
      </c>
      <c r="E34" s="257">
        <f>+'P&amp;L'!E25</f>
        <v>27.318199999999997</v>
      </c>
      <c r="F34" s="257">
        <f>+'P&amp;L'!F25</f>
        <v>30.259640000000005</v>
      </c>
      <c r="G34" s="257">
        <f>+'P&amp;L'!G25</f>
        <v>33.143400000000007</v>
      </c>
      <c r="H34" s="257">
        <f>+'P&amp;L'!H25</f>
        <v>36.26784</v>
      </c>
      <c r="I34" s="257">
        <f>+'P&amp;L'!I25</f>
        <v>36.28584</v>
      </c>
      <c r="J34" s="257">
        <f>+'P&amp;L'!J25</f>
        <v>38.5886</v>
      </c>
      <c r="K34" s="257">
        <f>+'P&amp;L'!K25</f>
        <v>41.081040000000002</v>
      </c>
    </row>
    <row r="35" spans="1:11" x14ac:dyDescent="0.25">
      <c r="A35" s="255" t="s">
        <v>597</v>
      </c>
      <c r="B35" s="258">
        <f>SUM(B32:B34)</f>
        <v>577.80623999999989</v>
      </c>
      <c r="C35" s="258">
        <f t="shared" ref="C35:K35" si="7">SUM(C32:C34)</f>
        <v>671.31721000000005</v>
      </c>
      <c r="D35" s="258">
        <f t="shared" si="7"/>
        <v>773.61816250000004</v>
      </c>
      <c r="E35" s="258">
        <f t="shared" si="7"/>
        <v>884.24337312499995</v>
      </c>
      <c r="F35" s="258">
        <f t="shared" si="7"/>
        <v>1004.1199762812499</v>
      </c>
      <c r="G35" s="258">
        <f t="shared" si="7"/>
        <v>1133.4830780953125</v>
      </c>
      <c r="H35" s="258">
        <f t="shared" si="7"/>
        <v>1273.1329795000781</v>
      </c>
      <c r="I35" s="258">
        <f t="shared" si="7"/>
        <v>1334.8562394750818</v>
      </c>
      <c r="J35" s="258">
        <f t="shared" si="7"/>
        <v>1492.2417884488361</v>
      </c>
      <c r="K35" s="258">
        <f t="shared" si="7"/>
        <v>1661.9192818712779</v>
      </c>
    </row>
    <row r="36" spans="1:11" x14ac:dyDescent="0.25">
      <c r="A36" s="259" t="s">
        <v>598</v>
      </c>
      <c r="B36" s="260">
        <f>B30-B35</f>
        <v>9.9107600000000957</v>
      </c>
      <c r="C36" s="260">
        <f>C30-C35</f>
        <v>9.6479400000000624</v>
      </c>
      <c r="D36" s="260">
        <f>D30-D35</f>
        <v>12.903807500000084</v>
      </c>
      <c r="E36" s="260">
        <f>E30-E35</f>
        <v>16.699476875000073</v>
      </c>
      <c r="F36" s="260">
        <f>F30-F35</f>
        <v>20.536353718750092</v>
      </c>
      <c r="G36" s="260">
        <f t="shared" ref="G36:K36" si="8">G30-G35</f>
        <v>25.89838190468754</v>
      </c>
      <c r="H36" s="260">
        <f t="shared" si="8"/>
        <v>31.10655049992215</v>
      </c>
      <c r="I36" s="260">
        <f t="shared" si="8"/>
        <v>34.550020524918409</v>
      </c>
      <c r="J36" s="260">
        <f t="shared" si="8"/>
        <v>41.775161551163819</v>
      </c>
      <c r="K36" s="260">
        <f t="shared" si="8"/>
        <v>49.313918128722207</v>
      </c>
    </row>
    <row r="37" spans="1:11" x14ac:dyDescent="0.25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62"/>
    </row>
    <row r="38" spans="1:11" x14ac:dyDescent="0.25">
      <c r="A38" s="255" t="s">
        <v>601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x14ac:dyDescent="0.25">
      <c r="A39" s="256" t="str">
        <f>+A27</f>
        <v xml:space="preserve">Revenue from Sale </v>
      </c>
      <c r="B39" s="257">
        <f>+'P&amp;L'!B5</f>
        <v>620.03</v>
      </c>
      <c r="C39" s="257">
        <f>+'P&amp;L'!C5</f>
        <v>749.24850000000004</v>
      </c>
      <c r="D39" s="257">
        <f>+'P&amp;L'!D5</f>
        <v>864.66880000000003</v>
      </c>
      <c r="E39" s="257">
        <f>+'P&amp;L'!E5</f>
        <v>990.1825</v>
      </c>
      <c r="F39" s="257">
        <f>+'P&amp;L'!F5</f>
        <v>1126.8467000000001</v>
      </c>
      <c r="G39" s="257">
        <f>+'P&amp;L'!G5</f>
        <v>1275.1464000000001</v>
      </c>
      <c r="H39" s="257">
        <f>+'P&amp;L'!H5</f>
        <v>1434.5637000000002</v>
      </c>
      <c r="I39" s="257">
        <f>+'P&amp;L'!I5</f>
        <v>1510.5038999999999</v>
      </c>
      <c r="J39" s="257">
        <f>+'P&amp;L'!J5</f>
        <v>1686.9175</v>
      </c>
      <c r="K39" s="257">
        <f>+'P&amp;L'!K5</f>
        <v>1882.923</v>
      </c>
    </row>
    <row r="40" spans="1:11" x14ac:dyDescent="0.25">
      <c r="A40" s="256" t="str">
        <f>+A28</f>
        <v>Revenue- Service Charges for Rice Polishing</v>
      </c>
      <c r="B40" s="257">
        <f>+'P&amp;L'!B6</f>
        <v>2.7</v>
      </c>
      <c r="C40" s="257">
        <f>+'P&amp;L'!C6</f>
        <v>3.24</v>
      </c>
      <c r="D40" s="257">
        <f>+'P&amp;L'!D6</f>
        <v>3.8445000000000005</v>
      </c>
      <c r="E40" s="257">
        <f>+'P&amp;L'!E6</f>
        <v>4.5359999999999996</v>
      </c>
      <c r="F40" s="257">
        <f>+'P&amp;L'!F6</f>
        <v>5.3040000000000003</v>
      </c>
      <c r="G40" s="257">
        <f>+'P&amp;L'!G6</f>
        <v>6.1740000000000004</v>
      </c>
      <c r="H40" s="257">
        <f>+'P&amp;L'!H6</f>
        <v>7.1550000000000002</v>
      </c>
      <c r="I40" s="257">
        <f>+'P&amp;L'!I6</f>
        <v>7.7175000000000002</v>
      </c>
      <c r="J40" s="257">
        <f>+'P&amp;L'!J6</f>
        <v>8.8800000000000008</v>
      </c>
      <c r="K40" s="257">
        <f>+'P&amp;L'!K6</f>
        <v>10.200000000000003</v>
      </c>
    </row>
    <row r="41" spans="1:11" x14ac:dyDescent="0.25">
      <c r="A41" s="256" t="str">
        <f>+A29</f>
        <v>Change in Closing Stock of FG</v>
      </c>
      <c r="B41" s="257">
        <f>+'P&amp;L'!B12-'P&amp;L'!B11</f>
        <v>27.26</v>
      </c>
      <c r="C41" s="257">
        <f>+'P&amp;L'!C12-'P&amp;L'!C11</f>
        <v>3.7254999999999967</v>
      </c>
      <c r="D41" s="257">
        <f>+'P&amp;L'!D12-'P&amp;L'!D11</f>
        <v>4.860000000000003</v>
      </c>
      <c r="E41" s="257">
        <f>+'P&amp;L'!E12-'P&amp;L'!E11</f>
        <v>5.6962000000000046</v>
      </c>
      <c r="F41" s="257">
        <f>+'P&amp;L'!F12-'P&amp;L'!F11</f>
        <v>5.7206999999999937</v>
      </c>
      <c r="G41" s="257">
        <f>+'P&amp;L'!G12-'P&amp;L'!G11</f>
        <v>6.1930999999999941</v>
      </c>
      <c r="H41" s="257">
        <f>+'P&amp;L'!H12-'P&amp;L'!H11</f>
        <v>6.6927000000000092</v>
      </c>
      <c r="I41" s="257">
        <f>+'P&amp;L'!I12-'P&amp;L'!I11</f>
        <v>3.007000000000005</v>
      </c>
      <c r="J41" s="257">
        <f>+'P&amp;L'!J12-'P&amp;L'!J11</f>
        <v>7.7991999999999848</v>
      </c>
      <c r="K41" s="257">
        <f>+'P&amp;L'!K12-'P&amp;L'!K11</f>
        <v>7.4225000000000136</v>
      </c>
    </row>
    <row r="42" spans="1:11" x14ac:dyDescent="0.25">
      <c r="A42" s="255" t="s">
        <v>594</v>
      </c>
      <c r="B42" s="258">
        <f>SUM(B39:B41)</f>
        <v>649.99</v>
      </c>
      <c r="C42" s="258">
        <f>SUM(C39:C41)</f>
        <v>756.21400000000006</v>
      </c>
      <c r="D42" s="258">
        <f>SUM(D39:D41)</f>
        <v>873.37330000000009</v>
      </c>
      <c r="E42" s="258">
        <f>SUM(E39:E41)</f>
        <v>1000.4146999999999</v>
      </c>
      <c r="F42" s="258">
        <f>SUM(F39:F41)</f>
        <v>1137.8714000000002</v>
      </c>
      <c r="G42" s="258">
        <f t="shared" ref="G42:K42" si="9">SUM(G39:G41)</f>
        <v>1287.5135</v>
      </c>
      <c r="H42" s="258">
        <f t="shared" si="9"/>
        <v>1448.4114000000002</v>
      </c>
      <c r="I42" s="258">
        <f t="shared" si="9"/>
        <v>1521.2284</v>
      </c>
      <c r="J42" s="258">
        <f t="shared" si="9"/>
        <v>1703.5967000000001</v>
      </c>
      <c r="K42" s="258">
        <f t="shared" si="9"/>
        <v>1900.5455000000002</v>
      </c>
    </row>
    <row r="43" spans="1:11" x14ac:dyDescent="0.25">
      <c r="A43" s="255" t="s">
        <v>595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7"/>
    </row>
    <row r="44" spans="1:11" x14ac:dyDescent="0.25">
      <c r="A44" s="263" t="s">
        <v>607</v>
      </c>
      <c r="B44" s="257">
        <f>+'P&amp;L'!B21*0.9</f>
        <v>549.17999999999995</v>
      </c>
      <c r="C44" s="257">
        <f>+'P&amp;L'!C21*0.9</f>
        <v>639.57096000000001</v>
      </c>
      <c r="D44" s="257">
        <f>+'P&amp;L'!D21*0.9</f>
        <v>738.63171</v>
      </c>
      <c r="E44" s="257">
        <f>+'P&amp;L'!E21*0.9</f>
        <v>846.03770999999995</v>
      </c>
      <c r="F44" s="257">
        <f>+'P&amp;L'!F21*0.9</f>
        <v>962.42849999999999</v>
      </c>
      <c r="G44" s="257">
        <f>+'P&amp;L'!G21*0.9</f>
        <v>1088.3362500000001</v>
      </c>
      <c r="H44" s="257">
        <f>+'P&amp;L'!H21*0.9</f>
        <v>1224.26154</v>
      </c>
      <c r="I44" s="257">
        <f>+'P&amp;L'!I21*0.9</f>
        <v>1285.3366199999998</v>
      </c>
      <c r="J44" s="257">
        <f>+'P&amp;L'!J21*0.9</f>
        <v>1439.7577200000001</v>
      </c>
      <c r="K44" s="257">
        <f>+'P&amp;L'!K21*0.9</f>
        <v>1606.248</v>
      </c>
    </row>
    <row r="45" spans="1:11" x14ac:dyDescent="0.25">
      <c r="A45" s="256" t="s">
        <v>596</v>
      </c>
      <c r="B45" s="257">
        <f>+'P&amp;L'!B23*0.9</f>
        <v>8.464500000000001</v>
      </c>
      <c r="C45" s="257">
        <f>+'P&amp;L'!C23*0.9</f>
        <v>8.8877250000000014</v>
      </c>
      <c r="D45" s="257">
        <f>+'P&amp;L'!D23*0.9</f>
        <v>9.3321112500000005</v>
      </c>
      <c r="E45" s="257">
        <f>+'P&amp;L'!E23*0.9</f>
        <v>9.7987168125000039</v>
      </c>
      <c r="F45" s="257">
        <f>+'P&amp;L'!F23*0.9</f>
        <v>10.288652653125004</v>
      </c>
      <c r="G45" s="257">
        <f>+'P&amp;L'!G23*0.9</f>
        <v>10.80308528578125</v>
      </c>
      <c r="H45" s="257">
        <f>+'P&amp;L'!H23*0.9</f>
        <v>11.343239550070317</v>
      </c>
      <c r="I45" s="257">
        <f>+'P&amp;L'!I23*0.9</f>
        <v>11.910401527573832</v>
      </c>
      <c r="J45" s="257">
        <f>+'P&amp;L'!J23*0.9</f>
        <v>12.505921603952523</v>
      </c>
      <c r="K45" s="257">
        <f>+'P&amp;L'!K23*0.9</f>
        <v>13.131217684150151</v>
      </c>
    </row>
    <row r="46" spans="1:11" x14ac:dyDescent="0.25">
      <c r="A46" s="256" t="s">
        <v>340</v>
      </c>
      <c r="B46" s="257">
        <f>+'P&amp;L'!B25*0.9</f>
        <v>17.299116000000001</v>
      </c>
      <c r="C46" s="257">
        <f>+'P&amp;L'!C25*0.9</f>
        <v>19.683899999999998</v>
      </c>
      <c r="D46" s="257">
        <f>+'P&amp;L'!D25*0.9</f>
        <v>22.155696000000006</v>
      </c>
      <c r="E46" s="257">
        <f>+'P&amp;L'!E25*0.9</f>
        <v>24.586379999999998</v>
      </c>
      <c r="F46" s="257">
        <f>+'P&amp;L'!F25*0.9</f>
        <v>27.233676000000006</v>
      </c>
      <c r="G46" s="257">
        <f>+'P&amp;L'!G25*0.9</f>
        <v>29.829060000000005</v>
      </c>
      <c r="H46" s="257">
        <f>+'P&amp;L'!H25*0.9</f>
        <v>32.641055999999999</v>
      </c>
      <c r="I46" s="257">
        <f>+'P&amp;L'!I25*0.9</f>
        <v>32.657256000000004</v>
      </c>
      <c r="J46" s="257">
        <f>+'P&amp;L'!J25*0.9</f>
        <v>34.72974</v>
      </c>
      <c r="K46" s="257">
        <f>+'P&amp;L'!K25*0.9</f>
        <v>36.972936000000004</v>
      </c>
    </row>
    <row r="47" spans="1:11" x14ac:dyDescent="0.25">
      <c r="A47" s="255" t="s">
        <v>597</v>
      </c>
      <c r="B47" s="258">
        <f>SUM(B44:B46)</f>
        <v>574.94361600000002</v>
      </c>
      <c r="C47" s="258">
        <f t="shared" ref="C47:K47" si="10">SUM(C44:C46)</f>
        <v>668.14258500000005</v>
      </c>
      <c r="D47" s="258">
        <f t="shared" si="10"/>
        <v>770.11951725000006</v>
      </c>
      <c r="E47" s="258">
        <f t="shared" si="10"/>
        <v>880.42280681249986</v>
      </c>
      <c r="F47" s="258">
        <f t="shared" si="10"/>
        <v>999.95082865312509</v>
      </c>
      <c r="G47" s="258">
        <f t="shared" si="10"/>
        <v>1128.9683952857813</v>
      </c>
      <c r="H47" s="258">
        <f t="shared" si="10"/>
        <v>1268.2458355500703</v>
      </c>
      <c r="I47" s="258">
        <f t="shared" si="10"/>
        <v>1329.9042775275736</v>
      </c>
      <c r="J47" s="258">
        <f t="shared" si="10"/>
        <v>1486.9933816039527</v>
      </c>
      <c r="K47" s="258">
        <f t="shared" si="10"/>
        <v>1656.3521536841504</v>
      </c>
    </row>
    <row r="48" spans="1:11" x14ac:dyDescent="0.25">
      <c r="A48" s="259" t="s">
        <v>598</v>
      </c>
      <c r="B48" s="260">
        <f>B42-B47</f>
        <v>75.046383999999989</v>
      </c>
      <c r="C48" s="260">
        <f>C42-C47</f>
        <v>88.071415000000002</v>
      </c>
      <c r="D48" s="260">
        <f>D42-D47</f>
        <v>103.25378275000003</v>
      </c>
      <c r="E48" s="260">
        <f>E42-E47</f>
        <v>119.99189318750007</v>
      </c>
      <c r="F48" s="260">
        <f>F42-F47</f>
        <v>137.92057134687514</v>
      </c>
      <c r="G48" s="260">
        <f t="shared" ref="G48:K48" si="11">G42-G47</f>
        <v>158.54510471421872</v>
      </c>
      <c r="H48" s="260">
        <f t="shared" si="11"/>
        <v>180.16556444992989</v>
      </c>
      <c r="I48" s="260">
        <f t="shared" si="11"/>
        <v>191.32412247242632</v>
      </c>
      <c r="J48" s="260">
        <f t="shared" si="11"/>
        <v>216.60331839604737</v>
      </c>
      <c r="K48" s="260">
        <f t="shared" si="11"/>
        <v>244.19334631584979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zoomScale="60" zoomScaleNormal="100" workbookViewId="0">
      <selection activeCell="B18" sqref="B18"/>
    </sheetView>
  </sheetViews>
  <sheetFormatPr defaultColWidth="9.140625" defaultRowHeight="15" x14ac:dyDescent="0.25"/>
  <cols>
    <col min="1" max="1" width="34.140625" bestFit="1" customWidth="1"/>
    <col min="2" max="2" width="9.5703125" bestFit="1" customWidth="1"/>
    <col min="3" max="3" width="11.140625" customWidth="1"/>
  </cols>
  <sheetData>
    <row r="2" spans="1:11" s="273" customFormat="1" x14ac:dyDescent="0.25">
      <c r="A2" s="275" t="s">
        <v>636</v>
      </c>
      <c r="B2" s="274" t="s">
        <v>36</v>
      </c>
      <c r="C2" s="274" t="s">
        <v>37</v>
      </c>
      <c r="D2" s="274" t="s">
        <v>38</v>
      </c>
      <c r="E2" s="274" t="s">
        <v>39</v>
      </c>
      <c r="F2" s="274" t="s">
        <v>40</v>
      </c>
      <c r="G2" s="274" t="s">
        <v>41</v>
      </c>
      <c r="H2" s="274" t="s">
        <v>42</v>
      </c>
      <c r="I2" s="274" t="s">
        <v>502</v>
      </c>
      <c r="J2" s="274" t="s">
        <v>503</v>
      </c>
      <c r="K2" s="274" t="s">
        <v>504</v>
      </c>
    </row>
    <row r="4" spans="1:11" x14ac:dyDescent="0.25">
      <c r="A4" t="s">
        <v>634</v>
      </c>
      <c r="B4" s="271">
        <v>515</v>
      </c>
      <c r="C4" s="271">
        <f>ROUND(B4*120%,0)</f>
        <v>618</v>
      </c>
      <c r="D4" s="271">
        <f t="shared" ref="D4:K4" si="0">ROUND(C4*120%,0)</f>
        <v>742</v>
      </c>
      <c r="E4" s="271">
        <f t="shared" si="0"/>
        <v>890</v>
      </c>
      <c r="F4" s="271">
        <f t="shared" si="0"/>
        <v>1068</v>
      </c>
      <c r="G4" s="271">
        <f t="shared" si="0"/>
        <v>1282</v>
      </c>
      <c r="H4" s="271">
        <f t="shared" si="0"/>
        <v>1538</v>
      </c>
      <c r="I4" s="271">
        <f t="shared" si="0"/>
        <v>1846</v>
      </c>
      <c r="J4" s="271">
        <f t="shared" si="0"/>
        <v>2215</v>
      </c>
      <c r="K4" s="271">
        <f t="shared" si="0"/>
        <v>2658</v>
      </c>
    </row>
    <row r="5" spans="1:11" x14ac:dyDescent="0.25">
      <c r="A5" t="s">
        <v>635</v>
      </c>
      <c r="B5" s="271">
        <v>6000</v>
      </c>
      <c r="C5" s="271">
        <f>B5-(C4-B4)</f>
        <v>5897</v>
      </c>
      <c r="D5" s="271">
        <f>C5-(D4-C4)</f>
        <v>5773</v>
      </c>
      <c r="E5" s="271">
        <f t="shared" ref="E5:K5" si="1">D5-(E4-D4)</f>
        <v>5625</v>
      </c>
      <c r="F5" s="271">
        <f t="shared" si="1"/>
        <v>5447</v>
      </c>
      <c r="G5" s="271">
        <f t="shared" si="1"/>
        <v>5233</v>
      </c>
      <c r="H5" s="271">
        <f t="shared" si="1"/>
        <v>4977</v>
      </c>
      <c r="I5" s="271">
        <f t="shared" si="1"/>
        <v>4669</v>
      </c>
      <c r="J5" s="271">
        <f t="shared" si="1"/>
        <v>4300</v>
      </c>
      <c r="K5" s="271">
        <f t="shared" si="1"/>
        <v>3857</v>
      </c>
    </row>
    <row r="8" spans="1:11" s="273" customFormat="1" x14ac:dyDescent="0.25">
      <c r="A8" s="273" t="s">
        <v>637</v>
      </c>
      <c r="B8" s="274" t="s">
        <v>36</v>
      </c>
      <c r="C8" s="274" t="s">
        <v>37</v>
      </c>
      <c r="D8" s="274" t="s">
        <v>38</v>
      </c>
      <c r="E8" s="274" t="s">
        <v>39</v>
      </c>
      <c r="F8" s="274" t="s">
        <v>40</v>
      </c>
      <c r="G8" s="274" t="s">
        <v>41</v>
      </c>
      <c r="H8" s="274" t="s">
        <v>42</v>
      </c>
      <c r="I8" s="274" t="s">
        <v>502</v>
      </c>
      <c r="J8" s="274" t="s">
        <v>503</v>
      </c>
      <c r="K8" s="274" t="s">
        <v>504</v>
      </c>
    </row>
    <row r="10" spans="1:11" x14ac:dyDescent="0.25">
      <c r="A10" t="s">
        <v>634</v>
      </c>
      <c r="B10" s="277">
        <f>B4*2.35</f>
        <v>1210.25</v>
      </c>
      <c r="C10" s="277">
        <f t="shared" ref="C10:K10" si="2">C4*2.35</f>
        <v>1452.3</v>
      </c>
      <c r="D10" s="277">
        <f t="shared" si="2"/>
        <v>1743.7</v>
      </c>
      <c r="E10" s="277">
        <f t="shared" si="2"/>
        <v>2091.5</v>
      </c>
      <c r="F10" s="277">
        <f t="shared" si="2"/>
        <v>2509.8000000000002</v>
      </c>
      <c r="G10" s="277">
        <f t="shared" si="2"/>
        <v>3012.7000000000003</v>
      </c>
      <c r="H10" s="277">
        <f t="shared" si="2"/>
        <v>3614.3</v>
      </c>
      <c r="I10" s="277">
        <f t="shared" si="2"/>
        <v>4338.1000000000004</v>
      </c>
      <c r="J10" s="277">
        <f t="shared" si="2"/>
        <v>5205.25</v>
      </c>
      <c r="K10" s="277">
        <f t="shared" si="2"/>
        <v>6246.3</v>
      </c>
    </row>
    <row r="11" spans="1:11" x14ac:dyDescent="0.25">
      <c r="A11" t="s">
        <v>635</v>
      </c>
      <c r="B11" s="277">
        <f>B5*2.35</f>
        <v>14100</v>
      </c>
      <c r="C11" s="277">
        <f t="shared" ref="C11:K11" si="3">C5*2.35</f>
        <v>13857.95</v>
      </c>
      <c r="D11" s="277">
        <f t="shared" si="3"/>
        <v>13566.550000000001</v>
      </c>
      <c r="E11" s="277">
        <f t="shared" si="3"/>
        <v>13218.75</v>
      </c>
      <c r="F11" s="277">
        <f t="shared" si="3"/>
        <v>12800.45</v>
      </c>
      <c r="G11" s="277">
        <f t="shared" si="3"/>
        <v>12297.550000000001</v>
      </c>
      <c r="H11" s="277">
        <f t="shared" si="3"/>
        <v>11695.95</v>
      </c>
      <c r="I11" s="277">
        <f t="shared" si="3"/>
        <v>10972.15</v>
      </c>
      <c r="J11" s="277">
        <f t="shared" si="3"/>
        <v>10105</v>
      </c>
      <c r="K11" s="277">
        <f t="shared" si="3"/>
        <v>9063.9500000000007</v>
      </c>
    </row>
    <row r="12" spans="1:11" x14ac:dyDescent="0.25">
      <c r="B12" s="271"/>
      <c r="C12" s="271"/>
      <c r="D12" s="271"/>
      <c r="E12" s="271"/>
      <c r="F12" s="271"/>
      <c r="G12" s="271"/>
      <c r="H12" s="271"/>
      <c r="I12" s="271"/>
      <c r="J12" s="271"/>
      <c r="K12" s="271"/>
    </row>
    <row r="13" spans="1:11" s="273" customFormat="1" x14ac:dyDescent="0.25">
      <c r="A13" s="273" t="s">
        <v>638</v>
      </c>
      <c r="B13" s="276">
        <f>SUM(B10:B12)</f>
        <v>15310.25</v>
      </c>
      <c r="C13" s="276">
        <f t="shared" ref="C13:K13" si="4">SUM(C10:C12)</f>
        <v>15310.25</v>
      </c>
      <c r="D13" s="276">
        <f t="shared" si="4"/>
        <v>15310.250000000002</v>
      </c>
      <c r="E13" s="276">
        <f t="shared" si="4"/>
        <v>15310.25</v>
      </c>
      <c r="F13" s="276">
        <f t="shared" si="4"/>
        <v>15310.25</v>
      </c>
      <c r="G13" s="276">
        <f t="shared" si="4"/>
        <v>15310.250000000002</v>
      </c>
      <c r="H13" s="276">
        <f t="shared" si="4"/>
        <v>15310.25</v>
      </c>
      <c r="I13" s="276">
        <f t="shared" si="4"/>
        <v>15310.25</v>
      </c>
      <c r="J13" s="276">
        <f t="shared" si="4"/>
        <v>15310.25</v>
      </c>
      <c r="K13" s="276">
        <f t="shared" si="4"/>
        <v>15310.25</v>
      </c>
    </row>
    <row r="15" spans="1:11" x14ac:dyDescent="0.25">
      <c r="A15" s="272" t="s">
        <v>639</v>
      </c>
      <c r="B15" s="277">
        <f>B13*0.5</f>
        <v>7655.125</v>
      </c>
      <c r="C15" s="277">
        <f t="shared" ref="C15:K15" si="5">C13*0.5</f>
        <v>7655.125</v>
      </c>
      <c r="D15" s="277">
        <f t="shared" si="5"/>
        <v>7655.1250000000009</v>
      </c>
      <c r="E15" s="277">
        <f t="shared" si="5"/>
        <v>7655.125</v>
      </c>
      <c r="F15" s="277">
        <f t="shared" si="5"/>
        <v>7655.125</v>
      </c>
      <c r="G15" s="277">
        <f t="shared" si="5"/>
        <v>7655.1250000000009</v>
      </c>
      <c r="H15" s="277">
        <f t="shared" si="5"/>
        <v>7655.125</v>
      </c>
      <c r="I15" s="277">
        <f t="shared" si="5"/>
        <v>7655.125</v>
      </c>
      <c r="J15" s="277">
        <f t="shared" si="5"/>
        <v>7655.125</v>
      </c>
      <c r="K15" s="277">
        <f t="shared" si="5"/>
        <v>7655.125</v>
      </c>
    </row>
    <row r="16" spans="1:11" s="273" customFormat="1" x14ac:dyDescent="0.25">
      <c r="A16" s="275" t="s">
        <v>640</v>
      </c>
      <c r="B16" s="276">
        <f>B15*0.7</f>
        <v>5358.5874999999996</v>
      </c>
      <c r="C16" s="276">
        <f t="shared" ref="C16:K16" si="6">C15*0.7</f>
        <v>5358.5874999999996</v>
      </c>
      <c r="D16" s="276">
        <f t="shared" si="6"/>
        <v>5358.5875000000005</v>
      </c>
      <c r="E16" s="276">
        <f t="shared" si="6"/>
        <v>5358.5874999999996</v>
      </c>
      <c r="F16" s="276">
        <f t="shared" si="6"/>
        <v>5358.5874999999996</v>
      </c>
      <c r="G16" s="276">
        <f t="shared" si="6"/>
        <v>5358.5875000000005</v>
      </c>
      <c r="H16" s="276">
        <f t="shared" si="6"/>
        <v>5358.5874999999996</v>
      </c>
      <c r="I16" s="276">
        <f t="shared" si="6"/>
        <v>5358.5874999999996</v>
      </c>
      <c r="J16" s="276">
        <f t="shared" si="6"/>
        <v>5358.5874999999996</v>
      </c>
      <c r="K16" s="276">
        <f t="shared" si="6"/>
        <v>5358.5874999999996</v>
      </c>
    </row>
    <row r="18" spans="1:11" s="273" customFormat="1" x14ac:dyDescent="0.25">
      <c r="A18" s="275" t="s">
        <v>644</v>
      </c>
      <c r="B18" s="274">
        <f>'Output Schedule'!B12+'Output Schedule'!B17</f>
        <v>2700</v>
      </c>
      <c r="C18" s="274">
        <f>'Output Schedule'!C12+'Output Schedule'!C17</f>
        <v>3000</v>
      </c>
      <c r="D18" s="274">
        <f>'Output Schedule'!D12+'Output Schedule'!D17</f>
        <v>3300.0000000000005</v>
      </c>
      <c r="E18" s="274">
        <f>'Output Schedule'!E12+'Output Schedule'!E17</f>
        <v>3600</v>
      </c>
      <c r="F18" s="274">
        <f>'Output Schedule'!F12+'Output Schedule'!F17</f>
        <v>3900</v>
      </c>
      <c r="G18" s="274">
        <f>'Output Schedule'!G12+'Output Schedule'!G17</f>
        <v>4200</v>
      </c>
      <c r="H18" s="274">
        <f>'Output Schedule'!H12+'Output Schedule'!H17</f>
        <v>4500</v>
      </c>
      <c r="I18" s="274">
        <f>'Output Schedule'!I12+'Output Schedule'!I17</f>
        <v>4500</v>
      </c>
      <c r="J18" s="274">
        <f>'Output Schedule'!J12+'Output Schedule'!J17</f>
        <v>4800</v>
      </c>
      <c r="K18" s="274">
        <f>'Output Schedule'!K12+'Output Schedule'!K17</f>
        <v>5100.0000000000009</v>
      </c>
    </row>
  </sheetData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="60" zoomScaleNormal="100" workbookViewId="0">
      <selection activeCell="B13" sqref="B13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12" style="1" bestFit="1" customWidth="1"/>
    <col min="5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4" ht="18.75" x14ac:dyDescent="0.3">
      <c r="A1" s="286" t="s">
        <v>25</v>
      </c>
      <c r="B1" s="286"/>
    </row>
    <row r="2" spans="1:4" ht="15.75" x14ac:dyDescent="0.25">
      <c r="A2" s="12" t="s">
        <v>26</v>
      </c>
    </row>
    <row r="3" spans="1:4" x14ac:dyDescent="0.25">
      <c r="A3" s="15" t="s">
        <v>1</v>
      </c>
      <c r="B3" s="15" t="s">
        <v>27</v>
      </c>
      <c r="C3" s="15" t="s">
        <v>555</v>
      </c>
    </row>
    <row r="4" spans="1:4" x14ac:dyDescent="0.25">
      <c r="A4" s="6"/>
      <c r="B4" s="6"/>
      <c r="C4" s="6"/>
    </row>
    <row r="5" spans="1:4" x14ac:dyDescent="0.25">
      <c r="A5" s="6" t="s">
        <v>28</v>
      </c>
      <c r="B5" s="9">
        <v>0</v>
      </c>
      <c r="C5" s="247">
        <f>B5/$B$15</f>
        <v>0</v>
      </c>
    </row>
    <row r="6" spans="1:4" x14ac:dyDescent="0.25">
      <c r="A6" s="6" t="s">
        <v>5</v>
      </c>
      <c r="B6" s="19">
        <f>'Capital Cost'!C7</f>
        <v>71.849999999999994</v>
      </c>
      <c r="C6" s="247">
        <f t="shared" ref="C6:C13" si="0">B6/$B$15</f>
        <v>0.73962702055666418</v>
      </c>
    </row>
    <row r="7" spans="1:4" x14ac:dyDescent="0.25">
      <c r="A7" s="6" t="s">
        <v>7</v>
      </c>
      <c r="B7" s="19">
        <v>0</v>
      </c>
      <c r="C7" s="247">
        <f t="shared" si="0"/>
        <v>0</v>
      </c>
      <c r="D7" s="13"/>
    </row>
    <row r="8" spans="1:4" x14ac:dyDescent="0.25">
      <c r="A8" s="10" t="s">
        <v>411</v>
      </c>
      <c r="B8" s="19">
        <f>+'Capital Cost'!C13</f>
        <v>15.15</v>
      </c>
      <c r="C8" s="247">
        <f t="shared" si="0"/>
        <v>0.15595475798793965</v>
      </c>
      <c r="D8" s="13"/>
    </row>
    <row r="9" spans="1:4" hidden="1" x14ac:dyDescent="0.25">
      <c r="A9" s="10" t="s">
        <v>499</v>
      </c>
      <c r="B9" s="19"/>
      <c r="C9" s="247">
        <f t="shared" si="0"/>
        <v>0</v>
      </c>
      <c r="D9" s="13"/>
    </row>
    <row r="10" spans="1:4" x14ac:dyDescent="0.25">
      <c r="A10" s="10" t="s">
        <v>616</v>
      </c>
      <c r="B10" s="19">
        <f>+'Capital Cost'!C28</f>
        <v>4.3499999999999996</v>
      </c>
      <c r="C10" s="247">
        <f t="shared" si="0"/>
        <v>4.4779088927230197E-2</v>
      </c>
    </row>
    <row r="11" spans="1:4" x14ac:dyDescent="0.25">
      <c r="A11" s="10" t="s">
        <v>412</v>
      </c>
      <c r="B11" s="19">
        <f>+'Capital Cost'!C21+'Capital Cost'!C24</f>
        <v>0</v>
      </c>
      <c r="C11" s="247">
        <f t="shared" si="0"/>
        <v>0</v>
      </c>
    </row>
    <row r="12" spans="1:4" x14ac:dyDescent="0.25">
      <c r="A12" s="6" t="s">
        <v>21</v>
      </c>
      <c r="B12" s="19">
        <v>0</v>
      </c>
      <c r="C12" s="247">
        <f t="shared" si="0"/>
        <v>0</v>
      </c>
    </row>
    <row r="13" spans="1:4" x14ac:dyDescent="0.25">
      <c r="A13" s="6" t="s">
        <v>23</v>
      </c>
      <c r="B13" s="19">
        <f>+'WC Assessment'!C13</f>
        <v>5.7935575000000039</v>
      </c>
      <c r="C13" s="247">
        <f t="shared" si="0"/>
        <v>5.9639132528165897E-2</v>
      </c>
    </row>
    <row r="14" spans="1:4" x14ac:dyDescent="0.25">
      <c r="A14" s="6"/>
      <c r="B14" s="6"/>
      <c r="C14" s="6"/>
    </row>
    <row r="15" spans="1:4" x14ac:dyDescent="0.25">
      <c r="A15" s="218" t="s">
        <v>29</v>
      </c>
      <c r="B15" s="248">
        <f>SUM(B5:B14)</f>
        <v>97.1435575</v>
      </c>
      <c r="C15" s="249">
        <f>B15/$B$15</f>
        <v>1</v>
      </c>
    </row>
    <row r="17" spans="1:4" ht="15.75" x14ac:dyDescent="0.25">
      <c r="A17" s="14" t="s">
        <v>30</v>
      </c>
    </row>
    <row r="18" spans="1:4" x14ac:dyDescent="0.25">
      <c r="A18" s="15" t="s">
        <v>1</v>
      </c>
      <c r="B18" s="15" t="s">
        <v>27</v>
      </c>
      <c r="C18" s="15" t="s">
        <v>556</v>
      </c>
    </row>
    <row r="19" spans="1:4" x14ac:dyDescent="0.25">
      <c r="A19" s="6" t="s">
        <v>32</v>
      </c>
      <c r="B19" s="19">
        <f>+B15-B20</f>
        <v>42.333557500000005</v>
      </c>
      <c r="C19" s="247">
        <f>B19/$B$23</f>
        <v>0.43578347951689955</v>
      </c>
      <c r="D19" s="38"/>
    </row>
    <row r="20" spans="1:4" x14ac:dyDescent="0.25">
      <c r="A20" s="6" t="s">
        <v>329</v>
      </c>
      <c r="B20" s="19">
        <f>+(B15-B13)*0.6</f>
        <v>54.809999999999995</v>
      </c>
      <c r="C20" s="247">
        <f t="shared" ref="C20:C23" si="1">B20/$B$23</f>
        <v>0.56421652048310045</v>
      </c>
      <c r="D20" s="38"/>
    </row>
    <row r="21" spans="1:4" x14ac:dyDescent="0.25">
      <c r="A21" s="6" t="s">
        <v>31</v>
      </c>
      <c r="B21" s="19">
        <v>0</v>
      </c>
      <c r="C21" s="247">
        <f t="shared" si="1"/>
        <v>0</v>
      </c>
      <c r="D21" s="38"/>
    </row>
    <row r="22" spans="1:4" x14ac:dyDescent="0.25">
      <c r="A22" s="6"/>
      <c r="B22" s="6"/>
      <c r="C22" s="6"/>
    </row>
    <row r="23" spans="1:4" x14ac:dyDescent="0.25">
      <c r="A23" s="218" t="s">
        <v>29</v>
      </c>
      <c r="B23" s="248">
        <f>B15</f>
        <v>97.1435575</v>
      </c>
      <c r="C23" s="249">
        <f t="shared" si="1"/>
        <v>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2" sqref="B2:L21"/>
    </sheetView>
  </sheetViews>
  <sheetFormatPr defaultRowHeight="15" x14ac:dyDescent="0.25"/>
  <cols>
    <col min="1" max="1" width="0" style="1" hidden="1" customWidth="1"/>
    <col min="2" max="2" width="29.140625" style="1" bestFit="1" customWidth="1"/>
    <col min="3" max="3" width="8.28515625" style="1" customWidth="1"/>
    <col min="4" max="5" width="8.28515625" style="1" bestFit="1" customWidth="1"/>
    <col min="6" max="6" width="7.85546875" style="1" bestFit="1" customWidth="1"/>
    <col min="7" max="9" width="8.28515625" style="1" bestFit="1" customWidth="1"/>
    <col min="10" max="12" width="8.28515625" style="1" customWidth="1"/>
    <col min="13" max="14" width="9.140625" style="1"/>
    <col min="15" max="15" width="28.7109375" style="1" bestFit="1" customWidth="1"/>
    <col min="16" max="20" width="8.28515625" style="1" bestFit="1" customWidth="1"/>
    <col min="21" max="22" width="7.85546875" style="1" bestFit="1" customWidth="1"/>
    <col min="23" max="16384" width="9.140625" style="1"/>
  </cols>
  <sheetData>
    <row r="2" spans="2:25" x14ac:dyDescent="0.25">
      <c r="B2" s="287" t="s">
        <v>34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O2" s="287" t="s">
        <v>35</v>
      </c>
      <c r="P2" s="288"/>
      <c r="Q2" s="288"/>
      <c r="R2" s="288"/>
      <c r="S2" s="288"/>
      <c r="T2" s="288"/>
      <c r="U2" s="288"/>
      <c r="V2" s="288"/>
      <c r="W2" s="288"/>
      <c r="X2" s="288"/>
      <c r="Y2" s="288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502</v>
      </c>
      <c r="K3" s="17" t="s">
        <v>503</v>
      </c>
      <c r="L3" s="17" t="s">
        <v>504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502</v>
      </c>
      <c r="X3" s="17" t="s">
        <v>503</v>
      </c>
      <c r="Y3" s="17" t="s">
        <v>504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71.849999999999994</v>
      </c>
      <c r="D5" s="19">
        <f>C7</f>
        <v>69.572354999999988</v>
      </c>
      <c r="E5" s="19">
        <f t="shared" ref="E5:I5" si="0">D7</f>
        <v>67.294709999999981</v>
      </c>
      <c r="F5" s="19">
        <f t="shared" si="0"/>
        <v>65.017064999999974</v>
      </c>
      <c r="G5" s="19">
        <f t="shared" si="0"/>
        <v>62.739419999999974</v>
      </c>
      <c r="H5" s="19">
        <f t="shared" si="0"/>
        <v>60.461774999999975</v>
      </c>
      <c r="I5" s="19">
        <f t="shared" si="0"/>
        <v>58.184129999999975</v>
      </c>
      <c r="J5" s="19">
        <f t="shared" ref="J5" si="1">I7</f>
        <v>55.906484999999975</v>
      </c>
      <c r="K5" s="19">
        <f t="shared" ref="K5" si="2">J7</f>
        <v>53.628839999999975</v>
      </c>
      <c r="L5" s="19">
        <f t="shared" ref="L5" si="3">K7</f>
        <v>51.351194999999976</v>
      </c>
      <c r="O5" s="6" t="s">
        <v>45</v>
      </c>
      <c r="P5" s="19">
        <f>C5</f>
        <v>71.849999999999994</v>
      </c>
      <c r="Q5" s="19">
        <f>P7</f>
        <v>64.664999999999992</v>
      </c>
      <c r="R5" s="19">
        <f t="shared" ref="R5:V5" si="4">Q7</f>
        <v>58.198499999999996</v>
      </c>
      <c r="S5" s="19">
        <f t="shared" si="4"/>
        <v>52.378649999999993</v>
      </c>
      <c r="T5" s="19">
        <f t="shared" si="4"/>
        <v>47.140784999999994</v>
      </c>
      <c r="U5" s="19">
        <f t="shared" si="4"/>
        <v>42.426706499999995</v>
      </c>
      <c r="V5" s="19">
        <f t="shared" si="4"/>
        <v>38.184035849999994</v>
      </c>
      <c r="W5" s="19">
        <f t="shared" ref="W5" si="5">V7</f>
        <v>34.365632264999995</v>
      </c>
      <c r="X5" s="19">
        <f t="shared" ref="X5" si="6">W7</f>
        <v>30.929069038499996</v>
      </c>
      <c r="Y5" s="19">
        <f t="shared" ref="Y5" si="7">X7</f>
        <v>27.836162134649996</v>
      </c>
    </row>
    <row r="6" spans="2:25" x14ac:dyDescent="0.25">
      <c r="B6" s="6" t="s">
        <v>46</v>
      </c>
      <c r="C6" s="19">
        <f>C5*3.17%</f>
        <v>2.2776449999999997</v>
      </c>
      <c r="D6" s="19">
        <f>C6</f>
        <v>2.2776449999999997</v>
      </c>
      <c r="E6" s="19">
        <f t="shared" ref="E6:I6" si="8">D6</f>
        <v>2.2776449999999997</v>
      </c>
      <c r="F6" s="19">
        <f t="shared" si="8"/>
        <v>2.2776449999999997</v>
      </c>
      <c r="G6" s="19">
        <f t="shared" si="8"/>
        <v>2.2776449999999997</v>
      </c>
      <c r="H6" s="19">
        <f t="shared" si="8"/>
        <v>2.2776449999999997</v>
      </c>
      <c r="I6" s="19">
        <f t="shared" si="8"/>
        <v>2.2776449999999997</v>
      </c>
      <c r="J6" s="19">
        <f t="shared" ref="J6" si="9">I6</f>
        <v>2.2776449999999997</v>
      </c>
      <c r="K6" s="19">
        <f t="shared" ref="K6" si="10">J6</f>
        <v>2.2776449999999997</v>
      </c>
      <c r="L6" s="19">
        <f t="shared" ref="L6" si="11">K6</f>
        <v>2.2776449999999997</v>
      </c>
      <c r="O6" s="1" t="s">
        <v>47</v>
      </c>
      <c r="P6" s="19">
        <f>P5*10%</f>
        <v>7.1849999999999996</v>
      </c>
      <c r="Q6" s="19">
        <f>Q5*10%</f>
        <v>6.4664999999999999</v>
      </c>
      <c r="R6" s="19">
        <f t="shared" ref="R6:V6" si="12">R5*10%</f>
        <v>5.8198499999999997</v>
      </c>
      <c r="S6" s="19">
        <f t="shared" si="12"/>
        <v>5.2378649999999993</v>
      </c>
      <c r="T6" s="19">
        <f t="shared" si="12"/>
        <v>4.7140784999999994</v>
      </c>
      <c r="U6" s="19">
        <f t="shared" si="12"/>
        <v>4.24267065</v>
      </c>
      <c r="V6" s="19">
        <f t="shared" si="12"/>
        <v>3.8184035849999995</v>
      </c>
      <c r="W6" s="19">
        <f t="shared" ref="W6:Y6" si="13">W5*10%</f>
        <v>3.4365632264999997</v>
      </c>
      <c r="X6" s="19">
        <f t="shared" si="13"/>
        <v>3.0929069038499999</v>
      </c>
      <c r="Y6" s="19">
        <f t="shared" si="13"/>
        <v>2.7836162134649998</v>
      </c>
    </row>
    <row r="7" spans="2:25" x14ac:dyDescent="0.25">
      <c r="B7" s="6" t="s">
        <v>48</v>
      </c>
      <c r="C7" s="19">
        <f>C5-C6</f>
        <v>69.572354999999988</v>
      </c>
      <c r="D7" s="19">
        <f t="shared" ref="D7:I7" si="14">D5-D6</f>
        <v>67.294709999999981</v>
      </c>
      <c r="E7" s="19">
        <f t="shared" si="14"/>
        <v>65.017064999999974</v>
      </c>
      <c r="F7" s="19">
        <f t="shared" si="14"/>
        <v>62.739419999999974</v>
      </c>
      <c r="G7" s="19">
        <f t="shared" si="14"/>
        <v>60.461774999999975</v>
      </c>
      <c r="H7" s="19">
        <f t="shared" si="14"/>
        <v>58.184129999999975</v>
      </c>
      <c r="I7" s="19">
        <f t="shared" si="14"/>
        <v>55.906484999999975</v>
      </c>
      <c r="J7" s="19">
        <f t="shared" ref="J7:L7" si="15">J5-J6</f>
        <v>53.628839999999975</v>
      </c>
      <c r="K7" s="19">
        <f t="shared" si="15"/>
        <v>51.351194999999976</v>
      </c>
      <c r="L7" s="19">
        <f t="shared" si="15"/>
        <v>49.073549999999976</v>
      </c>
      <c r="O7" s="6" t="s">
        <v>48</v>
      </c>
      <c r="P7" s="19">
        <f t="shared" ref="P7:V7" si="16">P5-P6</f>
        <v>64.664999999999992</v>
      </c>
      <c r="Q7" s="19">
        <f t="shared" si="16"/>
        <v>58.198499999999996</v>
      </c>
      <c r="R7" s="19">
        <f t="shared" si="16"/>
        <v>52.378649999999993</v>
      </c>
      <c r="S7" s="19">
        <f t="shared" si="16"/>
        <v>47.140784999999994</v>
      </c>
      <c r="T7" s="19">
        <f t="shared" si="16"/>
        <v>42.426706499999995</v>
      </c>
      <c r="U7" s="19">
        <f t="shared" si="16"/>
        <v>38.184035849999994</v>
      </c>
      <c r="V7" s="19">
        <f t="shared" si="16"/>
        <v>34.365632264999995</v>
      </c>
      <c r="W7" s="19">
        <f t="shared" ref="W7:Y7" si="17">W5-W6</f>
        <v>30.929069038499996</v>
      </c>
      <c r="X7" s="19">
        <f t="shared" si="17"/>
        <v>27.836162134649996</v>
      </c>
      <c r="Y7" s="19">
        <f t="shared" si="17"/>
        <v>25.052545921184997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15.15</v>
      </c>
      <c r="D10" s="19">
        <f>C12</f>
        <v>14.191005000000001</v>
      </c>
      <c r="E10" s="19">
        <f t="shared" ref="E10:I10" si="18">D12</f>
        <v>13.232010000000001</v>
      </c>
      <c r="F10" s="19">
        <f t="shared" si="18"/>
        <v>12.273015000000001</v>
      </c>
      <c r="G10" s="19">
        <f t="shared" si="18"/>
        <v>11.314020000000001</v>
      </c>
      <c r="H10" s="19">
        <f t="shared" si="18"/>
        <v>10.355025000000001</v>
      </c>
      <c r="I10" s="19">
        <f t="shared" si="18"/>
        <v>9.3960300000000014</v>
      </c>
      <c r="J10" s="19">
        <f t="shared" ref="J10" si="19">I12</f>
        <v>8.4370350000000016</v>
      </c>
      <c r="K10" s="19">
        <f t="shared" ref="K10" si="20">J12</f>
        <v>7.4780400000000018</v>
      </c>
      <c r="L10" s="19">
        <f t="shared" ref="L10" si="21">K12</f>
        <v>6.519045000000002</v>
      </c>
      <c r="O10" s="21" t="s">
        <v>50</v>
      </c>
      <c r="P10" s="19">
        <f>C10</f>
        <v>15.15</v>
      </c>
      <c r="Q10" s="19">
        <f>P12</f>
        <v>12.877500000000001</v>
      </c>
      <c r="R10" s="19">
        <f t="shared" ref="R10:V10" si="22">Q12</f>
        <v>10.945875000000001</v>
      </c>
      <c r="S10" s="19">
        <f t="shared" si="22"/>
        <v>9.3039937500000001</v>
      </c>
      <c r="T10" s="19">
        <f t="shared" si="22"/>
        <v>7.9083946875000004</v>
      </c>
      <c r="U10" s="19">
        <f t="shared" si="22"/>
        <v>6.7221354843750003</v>
      </c>
      <c r="V10" s="19">
        <f t="shared" si="22"/>
        <v>5.7138151617187507</v>
      </c>
      <c r="W10" s="19">
        <f t="shared" ref="W10" si="23">V12</f>
        <v>4.8567428874609382</v>
      </c>
      <c r="X10" s="19">
        <f t="shared" ref="X10" si="24">W12</f>
        <v>4.1282314543417975</v>
      </c>
      <c r="Y10" s="19">
        <f t="shared" ref="Y10" si="25">X12</f>
        <v>3.5089967361905279</v>
      </c>
    </row>
    <row r="11" spans="2:25" x14ac:dyDescent="0.25">
      <c r="B11" s="21" t="s">
        <v>51</v>
      </c>
      <c r="C11" s="19">
        <f>C10*6.33%</f>
        <v>0.95899499999999993</v>
      </c>
      <c r="D11" s="19">
        <f>C11</f>
        <v>0.95899499999999993</v>
      </c>
      <c r="E11" s="19">
        <f t="shared" ref="E11:I11" si="26">D11</f>
        <v>0.95899499999999993</v>
      </c>
      <c r="F11" s="19">
        <f t="shared" si="26"/>
        <v>0.95899499999999993</v>
      </c>
      <c r="G11" s="19">
        <f t="shared" si="26"/>
        <v>0.95899499999999993</v>
      </c>
      <c r="H11" s="19">
        <f t="shared" si="26"/>
        <v>0.95899499999999993</v>
      </c>
      <c r="I11" s="19">
        <f t="shared" si="26"/>
        <v>0.95899499999999993</v>
      </c>
      <c r="J11" s="19">
        <f t="shared" ref="J11" si="27">I11</f>
        <v>0.95899499999999993</v>
      </c>
      <c r="K11" s="19">
        <f t="shared" ref="K11" si="28">J11</f>
        <v>0.95899499999999993</v>
      </c>
      <c r="L11" s="19">
        <f t="shared" ref="L11" si="29">K11</f>
        <v>0.95899499999999993</v>
      </c>
      <c r="O11" s="21" t="s">
        <v>52</v>
      </c>
      <c r="P11" s="19">
        <f>P10*15%</f>
        <v>2.2725</v>
      </c>
      <c r="Q11" s="19">
        <f t="shared" ref="Q11:V11" si="30">Q10*15%</f>
        <v>1.9316250000000001</v>
      </c>
      <c r="R11" s="19">
        <f t="shared" si="30"/>
        <v>1.6418812500000002</v>
      </c>
      <c r="S11" s="19">
        <f t="shared" si="30"/>
        <v>1.3955990624999999</v>
      </c>
      <c r="T11" s="19">
        <f t="shared" si="30"/>
        <v>1.1862592031250001</v>
      </c>
      <c r="U11" s="19">
        <f t="shared" si="30"/>
        <v>1.00832032265625</v>
      </c>
      <c r="V11" s="19">
        <f t="shared" si="30"/>
        <v>0.85707227425781263</v>
      </c>
      <c r="W11" s="19">
        <f t="shared" ref="W11:Y11" si="31">W10*15%</f>
        <v>0.72851143311914068</v>
      </c>
      <c r="X11" s="19">
        <f t="shared" si="31"/>
        <v>0.61923471815126963</v>
      </c>
      <c r="Y11" s="19">
        <f t="shared" si="31"/>
        <v>0.52634951042857914</v>
      </c>
    </row>
    <row r="12" spans="2:25" x14ac:dyDescent="0.25">
      <c r="B12" s="6" t="s">
        <v>48</v>
      </c>
      <c r="C12" s="19">
        <f>C10-C11</f>
        <v>14.191005000000001</v>
      </c>
      <c r="D12" s="19">
        <f t="shared" ref="D12:I12" si="32">D10-D11</f>
        <v>13.232010000000001</v>
      </c>
      <c r="E12" s="19">
        <f t="shared" si="32"/>
        <v>12.273015000000001</v>
      </c>
      <c r="F12" s="19">
        <f t="shared" si="32"/>
        <v>11.314020000000001</v>
      </c>
      <c r="G12" s="19">
        <f t="shared" si="32"/>
        <v>10.355025000000001</v>
      </c>
      <c r="H12" s="19">
        <f t="shared" si="32"/>
        <v>9.3960300000000014</v>
      </c>
      <c r="I12" s="19">
        <f t="shared" si="32"/>
        <v>8.4370350000000016</v>
      </c>
      <c r="J12" s="19">
        <f t="shared" ref="J12:L12" si="33">J10-J11</f>
        <v>7.4780400000000018</v>
      </c>
      <c r="K12" s="19">
        <f t="shared" si="33"/>
        <v>6.519045000000002</v>
      </c>
      <c r="L12" s="19">
        <f t="shared" si="33"/>
        <v>5.5600500000000022</v>
      </c>
      <c r="O12" s="6" t="s">
        <v>48</v>
      </c>
      <c r="P12" s="19">
        <f t="shared" ref="P12:V12" si="34">P10-P11</f>
        <v>12.877500000000001</v>
      </c>
      <c r="Q12" s="19">
        <f t="shared" si="34"/>
        <v>10.945875000000001</v>
      </c>
      <c r="R12" s="19">
        <f t="shared" si="34"/>
        <v>9.3039937500000001</v>
      </c>
      <c r="S12" s="19">
        <f t="shared" si="34"/>
        <v>7.9083946875000004</v>
      </c>
      <c r="T12" s="19">
        <f t="shared" si="34"/>
        <v>6.7221354843750003</v>
      </c>
      <c r="U12" s="19">
        <f t="shared" si="34"/>
        <v>5.7138151617187507</v>
      </c>
      <c r="V12" s="19">
        <f t="shared" si="34"/>
        <v>4.8567428874609382</v>
      </c>
      <c r="W12" s="19">
        <f t="shared" ref="W12:Y12" si="35">W10-W11</f>
        <v>4.1282314543417975</v>
      </c>
      <c r="X12" s="19">
        <f t="shared" si="35"/>
        <v>3.5089967361905279</v>
      </c>
      <c r="Y12" s="19">
        <f t="shared" si="35"/>
        <v>2.9826472257619487</v>
      </c>
    </row>
    <row r="13" spans="2:25" hidden="1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87</v>
      </c>
      <c r="D19" s="22">
        <f t="shared" ref="D19:I21" si="54">D5+D10+D15</f>
        <v>83.763359999999992</v>
      </c>
      <c r="E19" s="22">
        <f t="shared" si="54"/>
        <v>80.526719999999983</v>
      </c>
      <c r="F19" s="22">
        <f t="shared" si="54"/>
        <v>77.290079999999975</v>
      </c>
      <c r="G19" s="22">
        <f t="shared" si="54"/>
        <v>74.053439999999981</v>
      </c>
      <c r="H19" s="22">
        <f t="shared" si="54"/>
        <v>70.816799999999972</v>
      </c>
      <c r="I19" s="22">
        <f t="shared" si="54"/>
        <v>67.580159999999978</v>
      </c>
      <c r="J19" s="22">
        <f t="shared" ref="J19:L19" si="55">J5+J10+J15</f>
        <v>64.343519999999984</v>
      </c>
      <c r="K19" s="22">
        <f t="shared" si="55"/>
        <v>61.106879999999975</v>
      </c>
      <c r="L19" s="22">
        <f t="shared" si="55"/>
        <v>57.870239999999981</v>
      </c>
      <c r="O19" s="20" t="s">
        <v>56</v>
      </c>
      <c r="P19" s="22">
        <f>P5+P10+P15</f>
        <v>87</v>
      </c>
      <c r="Q19" s="22">
        <f t="shared" ref="Q19:V21" si="56">Q5+Q10+Q15</f>
        <v>77.54249999999999</v>
      </c>
      <c r="R19" s="22">
        <f t="shared" si="56"/>
        <v>69.144374999999997</v>
      </c>
      <c r="S19" s="22">
        <f t="shared" si="56"/>
        <v>61.682643749999997</v>
      </c>
      <c r="T19" s="22">
        <f t="shared" si="56"/>
        <v>55.049179687499993</v>
      </c>
      <c r="U19" s="22">
        <f t="shared" si="56"/>
        <v>49.148841984374997</v>
      </c>
      <c r="V19" s="22">
        <f t="shared" si="56"/>
        <v>43.897851011718743</v>
      </c>
      <c r="W19" s="22">
        <f t="shared" ref="W19:Y19" si="57">W5+W10+W15</f>
        <v>39.222375152460934</v>
      </c>
      <c r="X19" s="22">
        <f t="shared" si="57"/>
        <v>35.05730049284179</v>
      </c>
      <c r="Y19" s="22">
        <f t="shared" si="57"/>
        <v>31.345158870840525</v>
      </c>
    </row>
    <row r="20" spans="2:25" x14ac:dyDescent="0.25">
      <c r="B20" s="20" t="s">
        <v>57</v>
      </c>
      <c r="C20" s="22">
        <f t="shared" ref="C20:G21" si="58">C6+C11+C16</f>
        <v>3.2366399999999995</v>
      </c>
      <c r="D20" s="22">
        <f t="shared" si="58"/>
        <v>3.2366399999999995</v>
      </c>
      <c r="E20" s="22">
        <f t="shared" si="58"/>
        <v>3.2366399999999995</v>
      </c>
      <c r="F20" s="22">
        <f t="shared" si="58"/>
        <v>3.2366399999999995</v>
      </c>
      <c r="G20" s="22">
        <f t="shared" si="58"/>
        <v>3.2366399999999995</v>
      </c>
      <c r="H20" s="22">
        <f t="shared" si="54"/>
        <v>3.2366399999999995</v>
      </c>
      <c r="I20" s="22">
        <f t="shared" si="54"/>
        <v>3.2366399999999995</v>
      </c>
      <c r="J20" s="22">
        <f t="shared" ref="J20:L20" si="59">J6+J11+J16</f>
        <v>3.2366399999999995</v>
      </c>
      <c r="K20" s="22">
        <f t="shared" si="59"/>
        <v>3.2366399999999995</v>
      </c>
      <c r="L20" s="22">
        <f t="shared" si="59"/>
        <v>3.2366399999999995</v>
      </c>
      <c r="O20" s="20" t="s">
        <v>57</v>
      </c>
      <c r="P20" s="22">
        <f t="shared" ref="P20:T21" si="60">P6+P11+P16</f>
        <v>9.4574999999999996</v>
      </c>
      <c r="Q20" s="22">
        <f t="shared" si="60"/>
        <v>8.3981250000000003</v>
      </c>
      <c r="R20" s="22">
        <f t="shared" si="60"/>
        <v>7.4617312499999997</v>
      </c>
      <c r="S20" s="22">
        <f t="shared" si="60"/>
        <v>6.633464062499999</v>
      </c>
      <c r="T20" s="22">
        <f t="shared" si="60"/>
        <v>5.9003377031249995</v>
      </c>
      <c r="U20" s="22">
        <f t="shared" si="56"/>
        <v>5.2509909726562505</v>
      </c>
      <c r="V20" s="22">
        <f t="shared" si="56"/>
        <v>4.6754758592578121</v>
      </c>
      <c r="W20" s="22">
        <f t="shared" ref="W20:Y20" si="61">W6+W11+W16</f>
        <v>4.1650746596191404</v>
      </c>
      <c r="X20" s="22">
        <f t="shared" si="61"/>
        <v>3.7121416220012695</v>
      </c>
      <c r="Y20" s="22">
        <f t="shared" si="61"/>
        <v>3.3099657238935789</v>
      </c>
    </row>
    <row r="21" spans="2:25" x14ac:dyDescent="0.25">
      <c r="B21" s="8" t="s">
        <v>48</v>
      </c>
      <c r="C21" s="22">
        <f t="shared" si="58"/>
        <v>83.763359999999992</v>
      </c>
      <c r="D21" s="22">
        <f t="shared" si="58"/>
        <v>80.526719999999983</v>
      </c>
      <c r="E21" s="22">
        <f t="shared" si="58"/>
        <v>77.290079999999975</v>
      </c>
      <c r="F21" s="22">
        <f t="shared" si="58"/>
        <v>74.053439999999981</v>
      </c>
      <c r="G21" s="22">
        <f t="shared" si="58"/>
        <v>70.816799999999972</v>
      </c>
      <c r="H21" s="22">
        <f t="shared" si="54"/>
        <v>67.580159999999978</v>
      </c>
      <c r="I21" s="22">
        <f t="shared" si="54"/>
        <v>64.343519999999984</v>
      </c>
      <c r="J21" s="22">
        <f t="shared" ref="J21:L21" si="62">J7+J12+J17</f>
        <v>61.106879999999975</v>
      </c>
      <c r="K21" s="22">
        <f t="shared" si="62"/>
        <v>57.870239999999981</v>
      </c>
      <c r="L21" s="22">
        <f t="shared" si="62"/>
        <v>54.63359999999998</v>
      </c>
      <c r="O21" s="8" t="s">
        <v>48</v>
      </c>
      <c r="P21" s="22">
        <f t="shared" si="60"/>
        <v>77.54249999999999</v>
      </c>
      <c r="Q21" s="22">
        <f t="shared" si="60"/>
        <v>69.144374999999997</v>
      </c>
      <c r="R21" s="22">
        <f t="shared" si="60"/>
        <v>61.682643749999997</v>
      </c>
      <c r="S21" s="22">
        <f t="shared" si="60"/>
        <v>55.049179687499993</v>
      </c>
      <c r="T21" s="22">
        <f t="shared" si="60"/>
        <v>49.148841984374997</v>
      </c>
      <c r="U21" s="22">
        <f t="shared" si="56"/>
        <v>43.897851011718743</v>
      </c>
      <c r="V21" s="22">
        <f t="shared" si="56"/>
        <v>39.222375152460934</v>
      </c>
      <c r="W21" s="22">
        <f t="shared" ref="W21:Y21" si="63">W7+W12+W17</f>
        <v>35.05730049284179</v>
      </c>
      <c r="X21" s="22">
        <f t="shared" si="63"/>
        <v>31.345158870840525</v>
      </c>
      <c r="Y21" s="22">
        <f t="shared" si="63"/>
        <v>28.035193146946945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zoomScale="60" zoomScaleNormal="100" workbookViewId="0">
      <selection activeCell="B28" sqref="B28"/>
    </sheetView>
  </sheetViews>
  <sheetFormatPr defaultRowHeight="15" x14ac:dyDescent="0.25"/>
  <cols>
    <col min="1" max="1" width="53.140625" style="1" bestFit="1" customWidth="1"/>
    <col min="2" max="2" width="9.42578125" style="1" bestFit="1" customWidth="1"/>
    <col min="3" max="7" width="9.140625" style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3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22" t="s">
        <v>502</v>
      </c>
      <c r="J1" s="222" t="s">
        <v>503</v>
      </c>
      <c r="K1" s="222" t="s">
        <v>504</v>
      </c>
    </row>
    <row r="2" spans="1:13" x14ac:dyDescent="0.25">
      <c r="A2" s="28"/>
      <c r="B2" s="29"/>
      <c r="C2" s="29"/>
      <c r="D2" s="29"/>
      <c r="E2" s="29"/>
      <c r="F2" s="29"/>
      <c r="G2" s="29"/>
      <c r="H2" s="29"/>
      <c r="I2" s="220"/>
      <c r="J2" s="220"/>
      <c r="K2" s="220"/>
    </row>
    <row r="3" spans="1:13" x14ac:dyDescent="0.25">
      <c r="A3" s="30" t="s">
        <v>579</v>
      </c>
      <c r="B3" s="27"/>
      <c r="C3" s="27"/>
      <c r="D3" s="27"/>
      <c r="E3" s="27"/>
      <c r="F3" s="27"/>
      <c r="G3" s="27"/>
      <c r="H3" s="27"/>
      <c r="I3" s="220"/>
      <c r="J3" s="220"/>
      <c r="K3" s="220"/>
    </row>
    <row r="4" spans="1:13" x14ac:dyDescent="0.25">
      <c r="A4" s="26" t="s">
        <v>59</v>
      </c>
      <c r="B4" s="289" t="s">
        <v>64</v>
      </c>
      <c r="C4" s="290"/>
      <c r="D4" s="290"/>
      <c r="E4" s="290"/>
      <c r="F4" s="290"/>
      <c r="G4" s="290"/>
      <c r="H4" s="290"/>
      <c r="I4" s="290"/>
      <c r="J4" s="290"/>
      <c r="K4" s="291"/>
    </row>
    <row r="5" spans="1:13" x14ac:dyDescent="0.25">
      <c r="A5" s="26" t="s">
        <v>60</v>
      </c>
      <c r="B5" s="31">
        <f>2*10*300</f>
        <v>6000</v>
      </c>
      <c r="C5" s="31">
        <f t="shared" ref="C5:K5" si="0">2*10*300</f>
        <v>6000</v>
      </c>
      <c r="D5" s="31">
        <f t="shared" si="0"/>
        <v>6000</v>
      </c>
      <c r="E5" s="31">
        <f t="shared" si="0"/>
        <v>6000</v>
      </c>
      <c r="F5" s="31">
        <f t="shared" si="0"/>
        <v>6000</v>
      </c>
      <c r="G5" s="31">
        <f t="shared" si="0"/>
        <v>6000</v>
      </c>
      <c r="H5" s="31">
        <f t="shared" si="0"/>
        <v>6000</v>
      </c>
      <c r="I5" s="31">
        <f t="shared" si="0"/>
        <v>6000</v>
      </c>
      <c r="J5" s="31">
        <f t="shared" si="0"/>
        <v>6000</v>
      </c>
      <c r="K5" s="31">
        <f t="shared" si="0"/>
        <v>6000</v>
      </c>
    </row>
    <row r="6" spans="1:13" x14ac:dyDescent="0.25">
      <c r="A6" s="26" t="s">
        <v>580</v>
      </c>
      <c r="B6" s="31">
        <f>B5*0.5</f>
        <v>3000</v>
      </c>
      <c r="C6" s="31">
        <f t="shared" ref="C6:K6" si="1">C5*0.5</f>
        <v>3000</v>
      </c>
      <c r="D6" s="31">
        <f t="shared" si="1"/>
        <v>3000</v>
      </c>
      <c r="E6" s="31">
        <f t="shared" si="1"/>
        <v>3000</v>
      </c>
      <c r="F6" s="31">
        <f t="shared" si="1"/>
        <v>3000</v>
      </c>
      <c r="G6" s="31">
        <f t="shared" si="1"/>
        <v>3000</v>
      </c>
      <c r="H6" s="31">
        <f t="shared" si="1"/>
        <v>3000</v>
      </c>
      <c r="I6" s="31">
        <f t="shared" si="1"/>
        <v>3000</v>
      </c>
      <c r="J6" s="31">
        <f t="shared" si="1"/>
        <v>3000</v>
      </c>
      <c r="K6" s="31">
        <f t="shared" si="1"/>
        <v>3000</v>
      </c>
    </row>
    <row r="7" spans="1:13" x14ac:dyDescent="0.25">
      <c r="A7" s="26" t="s">
        <v>581</v>
      </c>
      <c r="B7" s="31">
        <f>B5*0.5</f>
        <v>3000</v>
      </c>
      <c r="C7" s="31">
        <f t="shared" ref="C7:K7" si="2">C5*0.5</f>
        <v>3000</v>
      </c>
      <c r="D7" s="31">
        <f t="shared" si="2"/>
        <v>3000</v>
      </c>
      <c r="E7" s="31">
        <f t="shared" si="2"/>
        <v>3000</v>
      </c>
      <c r="F7" s="31">
        <f t="shared" si="2"/>
        <v>3000</v>
      </c>
      <c r="G7" s="31">
        <f t="shared" si="2"/>
        <v>3000</v>
      </c>
      <c r="H7" s="31">
        <f t="shared" si="2"/>
        <v>3000</v>
      </c>
      <c r="I7" s="31">
        <f t="shared" si="2"/>
        <v>3000</v>
      </c>
      <c r="J7" s="31">
        <f t="shared" si="2"/>
        <v>3000</v>
      </c>
      <c r="K7" s="31">
        <f t="shared" si="2"/>
        <v>3000</v>
      </c>
    </row>
    <row r="8" spans="1:13" x14ac:dyDescent="0.25">
      <c r="A8" s="26" t="s">
        <v>161</v>
      </c>
      <c r="B8" s="32">
        <v>0.45</v>
      </c>
      <c r="C8" s="32">
        <v>0.5</v>
      </c>
      <c r="D8" s="32">
        <v>0.55000000000000004</v>
      </c>
      <c r="E8" s="32">
        <v>0.6</v>
      </c>
      <c r="F8" s="32">
        <v>0.65</v>
      </c>
      <c r="G8" s="32">
        <v>0.7</v>
      </c>
      <c r="H8" s="241">
        <v>0.75</v>
      </c>
      <c r="I8" s="32">
        <v>0.75</v>
      </c>
      <c r="J8" s="241">
        <f t="shared" ref="J8:J9" si="3">I8+5%</f>
        <v>0.8</v>
      </c>
      <c r="K8" s="241">
        <f t="shared" ref="K8:K9" si="4">J8+5%</f>
        <v>0.85000000000000009</v>
      </c>
    </row>
    <row r="9" spans="1:13" x14ac:dyDescent="0.25">
      <c r="A9" s="26" t="s">
        <v>162</v>
      </c>
      <c r="B9" s="32">
        <v>0.45</v>
      </c>
      <c r="C9" s="32">
        <v>0.5</v>
      </c>
      <c r="D9" s="32">
        <v>0.55000000000000004</v>
      </c>
      <c r="E9" s="32">
        <v>0.6</v>
      </c>
      <c r="F9" s="32">
        <v>0.65</v>
      </c>
      <c r="G9" s="32">
        <v>0.7</v>
      </c>
      <c r="H9" s="241">
        <v>0.75</v>
      </c>
      <c r="I9" s="32">
        <v>0.75</v>
      </c>
      <c r="J9" s="241">
        <f t="shared" si="3"/>
        <v>0.8</v>
      </c>
      <c r="K9" s="241">
        <f t="shared" si="4"/>
        <v>0.85000000000000009</v>
      </c>
    </row>
    <row r="10" spans="1:1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3" x14ac:dyDescent="0.25">
      <c r="A11" s="8" t="s">
        <v>163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3" x14ac:dyDescent="0.25">
      <c r="A12" s="6" t="s">
        <v>621</v>
      </c>
      <c r="B12" s="6">
        <f>B6*B8</f>
        <v>1350</v>
      </c>
      <c r="C12" s="6">
        <f t="shared" ref="C12:K12" si="5">C6*C8</f>
        <v>1500</v>
      </c>
      <c r="D12" s="6">
        <f t="shared" si="5"/>
        <v>1650.0000000000002</v>
      </c>
      <c r="E12" s="6">
        <f t="shared" si="5"/>
        <v>1800</v>
      </c>
      <c r="F12" s="6">
        <f t="shared" si="5"/>
        <v>1950</v>
      </c>
      <c r="G12" s="6">
        <f t="shared" si="5"/>
        <v>2100</v>
      </c>
      <c r="H12" s="6">
        <f t="shared" si="5"/>
        <v>2250</v>
      </c>
      <c r="I12" s="6">
        <f t="shared" si="5"/>
        <v>2250</v>
      </c>
      <c r="J12" s="6">
        <f t="shared" si="5"/>
        <v>2400</v>
      </c>
      <c r="K12" s="6">
        <f t="shared" si="5"/>
        <v>2550.0000000000005</v>
      </c>
    </row>
    <row r="13" spans="1:13" x14ac:dyDescent="0.25">
      <c r="A13" s="33" t="s">
        <v>61</v>
      </c>
      <c r="B13" s="9">
        <v>200</v>
      </c>
      <c r="C13" s="9">
        <f>ROUND(B13*1.08,0)</f>
        <v>216</v>
      </c>
      <c r="D13" s="9">
        <f t="shared" ref="D13:K13" si="6">ROUND(C13*1.08,0)</f>
        <v>233</v>
      </c>
      <c r="E13" s="9">
        <f t="shared" si="6"/>
        <v>252</v>
      </c>
      <c r="F13" s="9">
        <f t="shared" si="6"/>
        <v>272</v>
      </c>
      <c r="G13" s="9">
        <f t="shared" si="6"/>
        <v>294</v>
      </c>
      <c r="H13" s="9">
        <f t="shared" si="6"/>
        <v>318</v>
      </c>
      <c r="I13" s="9">
        <f t="shared" si="6"/>
        <v>343</v>
      </c>
      <c r="J13" s="9">
        <f t="shared" si="6"/>
        <v>370</v>
      </c>
      <c r="K13" s="9">
        <f t="shared" si="6"/>
        <v>400</v>
      </c>
      <c r="M13" s="25"/>
    </row>
    <row r="14" spans="1:13" x14ac:dyDescent="0.25">
      <c r="A14" s="34" t="s">
        <v>73</v>
      </c>
      <c r="B14" s="35">
        <f>B12*B13/100000</f>
        <v>2.7</v>
      </c>
      <c r="C14" s="35">
        <f>C12*C13/100000</f>
        <v>3.24</v>
      </c>
      <c r="D14" s="35">
        <f t="shared" ref="D14:K14" si="7">D12*D13/100000</f>
        <v>3.8445000000000005</v>
      </c>
      <c r="E14" s="35">
        <f t="shared" si="7"/>
        <v>4.5359999999999996</v>
      </c>
      <c r="F14" s="35">
        <f t="shared" si="7"/>
        <v>5.3040000000000003</v>
      </c>
      <c r="G14" s="35">
        <f t="shared" si="7"/>
        <v>6.1740000000000004</v>
      </c>
      <c r="H14" s="35">
        <f t="shared" si="7"/>
        <v>7.1550000000000002</v>
      </c>
      <c r="I14" s="35">
        <f t="shared" si="7"/>
        <v>7.7175000000000002</v>
      </c>
      <c r="J14" s="35">
        <f t="shared" si="7"/>
        <v>8.8800000000000008</v>
      </c>
      <c r="K14" s="35">
        <f t="shared" si="7"/>
        <v>10.200000000000003</v>
      </c>
    </row>
    <row r="15" spans="1:13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3" x14ac:dyDescent="0.25">
      <c r="A16" s="34" t="s">
        <v>164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582</v>
      </c>
      <c r="B17" s="6">
        <f>B7*B9</f>
        <v>1350</v>
      </c>
      <c r="C17" s="6">
        <f t="shared" ref="C17:K17" si="8">C7*C9</f>
        <v>1500</v>
      </c>
      <c r="D17" s="6">
        <f t="shared" si="8"/>
        <v>1650.0000000000002</v>
      </c>
      <c r="E17" s="6">
        <f t="shared" si="8"/>
        <v>1800</v>
      </c>
      <c r="F17" s="6">
        <f t="shared" si="8"/>
        <v>1950</v>
      </c>
      <c r="G17" s="6">
        <f t="shared" si="8"/>
        <v>2100</v>
      </c>
      <c r="H17" s="6">
        <f t="shared" si="8"/>
        <v>2250</v>
      </c>
      <c r="I17" s="6">
        <f t="shared" si="8"/>
        <v>2250</v>
      </c>
      <c r="J17" s="6">
        <f t="shared" si="8"/>
        <v>2400</v>
      </c>
      <c r="K17" s="6">
        <f t="shared" si="8"/>
        <v>2550.0000000000005</v>
      </c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x14ac:dyDescent="0.25">
      <c r="A20" s="36" t="s">
        <v>583</v>
      </c>
      <c r="B20" s="37">
        <f>B12*$L$20</f>
        <v>1262.25</v>
      </c>
      <c r="C20" s="37">
        <f t="shared" ref="C20:H20" si="9">C12*$L$20</f>
        <v>1402.5</v>
      </c>
      <c r="D20" s="37">
        <f t="shared" si="9"/>
        <v>1542.7500000000002</v>
      </c>
      <c r="E20" s="37">
        <f t="shared" si="9"/>
        <v>1683</v>
      </c>
      <c r="F20" s="37">
        <f t="shared" si="9"/>
        <v>1823.25</v>
      </c>
      <c r="G20" s="37">
        <f t="shared" si="9"/>
        <v>1963.5</v>
      </c>
      <c r="H20" s="37">
        <f t="shared" si="9"/>
        <v>2103.75</v>
      </c>
      <c r="I20" s="37">
        <f t="shared" ref="I20:K20" si="10">I12*$L$20</f>
        <v>2103.75</v>
      </c>
      <c r="J20" s="37">
        <f t="shared" si="10"/>
        <v>2244</v>
      </c>
      <c r="K20" s="37">
        <f t="shared" si="10"/>
        <v>2384.2500000000005</v>
      </c>
      <c r="L20" s="267">
        <v>0.93500000000000005</v>
      </c>
    </row>
    <row r="21" spans="1:16" x14ac:dyDescent="0.25">
      <c r="A21" s="36" t="s">
        <v>623</v>
      </c>
      <c r="B21" s="37">
        <f>B12*$L$21</f>
        <v>20.25</v>
      </c>
      <c r="C21" s="37">
        <f t="shared" ref="C21:K21" si="11">C12*$L$21</f>
        <v>22.5</v>
      </c>
      <c r="D21" s="37">
        <f t="shared" si="11"/>
        <v>24.750000000000004</v>
      </c>
      <c r="E21" s="37">
        <f t="shared" si="11"/>
        <v>27</v>
      </c>
      <c r="F21" s="37">
        <f t="shared" si="11"/>
        <v>29.25</v>
      </c>
      <c r="G21" s="37">
        <f t="shared" si="11"/>
        <v>31.5</v>
      </c>
      <c r="H21" s="37">
        <f t="shared" si="11"/>
        <v>33.75</v>
      </c>
      <c r="I21" s="37">
        <f t="shared" si="11"/>
        <v>33.75</v>
      </c>
      <c r="J21" s="37">
        <f t="shared" si="11"/>
        <v>36</v>
      </c>
      <c r="K21" s="37">
        <f t="shared" si="11"/>
        <v>38.250000000000007</v>
      </c>
      <c r="L21" s="267">
        <v>1.4999999999999999E-2</v>
      </c>
    </row>
    <row r="22" spans="1:16" x14ac:dyDescent="0.25">
      <c r="A22" s="36" t="s">
        <v>584</v>
      </c>
      <c r="B22" s="37">
        <f>ROUND(B12*$L$22,0)</f>
        <v>41</v>
      </c>
      <c r="C22" s="37">
        <f t="shared" ref="C22:H22" si="12">ROUND(C12*$L$22,0)</f>
        <v>45</v>
      </c>
      <c r="D22" s="37">
        <f t="shared" si="12"/>
        <v>50</v>
      </c>
      <c r="E22" s="37">
        <f t="shared" si="12"/>
        <v>54</v>
      </c>
      <c r="F22" s="37">
        <f t="shared" si="12"/>
        <v>59</v>
      </c>
      <c r="G22" s="37">
        <f t="shared" si="12"/>
        <v>63</v>
      </c>
      <c r="H22" s="37">
        <f t="shared" si="12"/>
        <v>68</v>
      </c>
      <c r="I22" s="37">
        <f t="shared" ref="I22:K22" si="13">ROUND(I12*$L$22,0)</f>
        <v>68</v>
      </c>
      <c r="J22" s="37">
        <f t="shared" si="13"/>
        <v>72</v>
      </c>
      <c r="K22" s="37">
        <f t="shared" si="13"/>
        <v>77</v>
      </c>
      <c r="L22" s="267">
        <v>0.03</v>
      </c>
    </row>
    <row r="23" spans="1:16" x14ac:dyDescent="0.25">
      <c r="A23" s="36" t="s">
        <v>624</v>
      </c>
      <c r="B23" s="37">
        <f t="shared" ref="B23:K23" si="14">B12*$L$23</f>
        <v>27</v>
      </c>
      <c r="C23" s="37">
        <f t="shared" si="14"/>
        <v>30</v>
      </c>
      <c r="D23" s="37">
        <f t="shared" si="14"/>
        <v>33.000000000000007</v>
      </c>
      <c r="E23" s="37">
        <f t="shared" si="14"/>
        <v>36</v>
      </c>
      <c r="F23" s="37">
        <f t="shared" si="14"/>
        <v>39</v>
      </c>
      <c r="G23" s="37">
        <f t="shared" si="14"/>
        <v>42</v>
      </c>
      <c r="H23" s="37">
        <f t="shared" si="14"/>
        <v>45</v>
      </c>
      <c r="I23" s="37">
        <f t="shared" si="14"/>
        <v>45</v>
      </c>
      <c r="J23" s="37">
        <f t="shared" si="14"/>
        <v>48</v>
      </c>
      <c r="K23" s="37">
        <f t="shared" si="14"/>
        <v>51.000000000000007</v>
      </c>
      <c r="L23" s="267">
        <v>0.02</v>
      </c>
    </row>
    <row r="24" spans="1:16" hidden="1" x14ac:dyDescent="0.25">
      <c r="A24" s="36" t="s">
        <v>63</v>
      </c>
      <c r="B24" s="37">
        <v>0</v>
      </c>
      <c r="C24" s="37">
        <f t="shared" ref="C24:H24" si="15">C12*$L$24</f>
        <v>0</v>
      </c>
      <c r="D24" s="37">
        <f t="shared" si="15"/>
        <v>0</v>
      </c>
      <c r="E24" s="37">
        <f t="shared" si="15"/>
        <v>0</v>
      </c>
      <c r="F24" s="37">
        <f t="shared" si="15"/>
        <v>0</v>
      </c>
      <c r="G24" s="37">
        <f t="shared" si="15"/>
        <v>0</v>
      </c>
      <c r="H24" s="37">
        <f t="shared" si="15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165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tr">
        <f>+A20</f>
        <v>Polished Rice</v>
      </c>
      <c r="B27" s="37">
        <f t="shared" ref="B27:K27" si="16">ROUND(B17*$L$27,0)</f>
        <v>1262</v>
      </c>
      <c r="C27" s="37">
        <f t="shared" si="16"/>
        <v>1403</v>
      </c>
      <c r="D27" s="37">
        <f t="shared" si="16"/>
        <v>1543</v>
      </c>
      <c r="E27" s="37">
        <f t="shared" si="16"/>
        <v>1683</v>
      </c>
      <c r="F27" s="37">
        <f t="shared" si="16"/>
        <v>1823</v>
      </c>
      <c r="G27" s="37">
        <f t="shared" si="16"/>
        <v>1964</v>
      </c>
      <c r="H27" s="37">
        <f t="shared" si="16"/>
        <v>2104</v>
      </c>
      <c r="I27" s="37">
        <f t="shared" si="16"/>
        <v>2104</v>
      </c>
      <c r="J27" s="37">
        <f t="shared" si="16"/>
        <v>2244</v>
      </c>
      <c r="K27" s="37">
        <f t="shared" si="16"/>
        <v>2384</v>
      </c>
      <c r="L27" s="82">
        <v>0.93500000000000005</v>
      </c>
      <c r="M27" s="25">
        <v>50000</v>
      </c>
      <c r="N27" s="25">
        <f>M27*L27</f>
        <v>46750</v>
      </c>
    </row>
    <row r="28" spans="1:16" x14ac:dyDescent="0.25">
      <c r="A28" s="36" t="str">
        <f>+A21</f>
        <v>Raw Jari</v>
      </c>
      <c r="B28" s="37">
        <f t="shared" ref="B28:K28" si="17">ROUND(B17*$L$28,0)</f>
        <v>20</v>
      </c>
      <c r="C28" s="37">
        <f t="shared" si="17"/>
        <v>23</v>
      </c>
      <c r="D28" s="37">
        <f t="shared" si="17"/>
        <v>25</v>
      </c>
      <c r="E28" s="37">
        <f t="shared" si="17"/>
        <v>27</v>
      </c>
      <c r="F28" s="37">
        <f t="shared" si="17"/>
        <v>29</v>
      </c>
      <c r="G28" s="37">
        <f t="shared" si="17"/>
        <v>32</v>
      </c>
      <c r="H28" s="37">
        <f t="shared" si="17"/>
        <v>34</v>
      </c>
      <c r="I28" s="37">
        <f t="shared" si="17"/>
        <v>34</v>
      </c>
      <c r="J28" s="37">
        <f t="shared" si="17"/>
        <v>36</v>
      </c>
      <c r="K28" s="37">
        <f t="shared" si="17"/>
        <v>38</v>
      </c>
      <c r="L28" s="82">
        <v>1.4999999999999999E-2</v>
      </c>
      <c r="M28" s="25">
        <v>14000</v>
      </c>
      <c r="N28" s="25">
        <f t="shared" ref="N28:N30" si="18">M28*L28</f>
        <v>210</v>
      </c>
    </row>
    <row r="29" spans="1:16" x14ac:dyDescent="0.25">
      <c r="A29" s="36" t="str">
        <f>+A22</f>
        <v>Broken</v>
      </c>
      <c r="B29" s="37">
        <f>ROUND(B17*$L$29,0)</f>
        <v>41</v>
      </c>
      <c r="C29" s="37">
        <f t="shared" ref="C29:K29" si="19">ROUND(C17*$L$29,0)</f>
        <v>45</v>
      </c>
      <c r="D29" s="37">
        <f t="shared" si="19"/>
        <v>50</v>
      </c>
      <c r="E29" s="37">
        <f t="shared" si="19"/>
        <v>54</v>
      </c>
      <c r="F29" s="37">
        <f t="shared" si="19"/>
        <v>59</v>
      </c>
      <c r="G29" s="37">
        <f t="shared" si="19"/>
        <v>63</v>
      </c>
      <c r="H29" s="37">
        <f t="shared" si="19"/>
        <v>68</v>
      </c>
      <c r="I29" s="37">
        <f t="shared" si="19"/>
        <v>68</v>
      </c>
      <c r="J29" s="37">
        <f t="shared" si="19"/>
        <v>72</v>
      </c>
      <c r="K29" s="37">
        <f t="shared" si="19"/>
        <v>77</v>
      </c>
      <c r="L29" s="82">
        <v>0.03</v>
      </c>
      <c r="M29" s="25">
        <v>25000</v>
      </c>
      <c r="N29" s="25">
        <f t="shared" si="18"/>
        <v>750</v>
      </c>
    </row>
    <row r="30" spans="1:16" x14ac:dyDescent="0.25">
      <c r="A30" s="36" t="str">
        <f>+A23</f>
        <v>Powder</v>
      </c>
      <c r="B30" s="37">
        <f t="shared" ref="B30:K30" si="20">ROUND(B17*$L$30,0)</f>
        <v>27</v>
      </c>
      <c r="C30" s="37">
        <f t="shared" si="20"/>
        <v>30</v>
      </c>
      <c r="D30" s="37">
        <f t="shared" si="20"/>
        <v>33</v>
      </c>
      <c r="E30" s="37">
        <f t="shared" si="20"/>
        <v>36</v>
      </c>
      <c r="F30" s="37">
        <f t="shared" si="20"/>
        <v>39</v>
      </c>
      <c r="G30" s="37">
        <f t="shared" si="20"/>
        <v>42</v>
      </c>
      <c r="H30" s="37">
        <f t="shared" si="20"/>
        <v>45</v>
      </c>
      <c r="I30" s="37">
        <f t="shared" si="20"/>
        <v>45</v>
      </c>
      <c r="J30" s="37">
        <f t="shared" si="20"/>
        <v>48</v>
      </c>
      <c r="K30" s="37">
        <f t="shared" si="20"/>
        <v>51</v>
      </c>
      <c r="L30" s="82">
        <v>0.02</v>
      </c>
      <c r="M30" s="25">
        <v>12000</v>
      </c>
      <c r="N30" s="25">
        <f t="shared" si="18"/>
        <v>240</v>
      </c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 x14ac:dyDescent="0.25">
      <c r="A32" s="6" t="s">
        <v>585</v>
      </c>
      <c r="B32" s="6">
        <f>2*10</f>
        <v>20</v>
      </c>
      <c r="C32" s="6">
        <f t="shared" ref="C32:K32" si="21">2*10</f>
        <v>20</v>
      </c>
      <c r="D32" s="6">
        <f t="shared" si="21"/>
        <v>20</v>
      </c>
      <c r="E32" s="6">
        <f t="shared" si="21"/>
        <v>20</v>
      </c>
      <c r="F32" s="6">
        <f t="shared" si="21"/>
        <v>20</v>
      </c>
      <c r="G32" s="6">
        <f t="shared" si="21"/>
        <v>20</v>
      </c>
      <c r="H32" s="6">
        <f t="shared" si="21"/>
        <v>20</v>
      </c>
      <c r="I32" s="6">
        <f t="shared" si="21"/>
        <v>20</v>
      </c>
      <c r="J32" s="6">
        <f t="shared" si="21"/>
        <v>20</v>
      </c>
      <c r="K32" s="6">
        <f t="shared" si="21"/>
        <v>20</v>
      </c>
      <c r="N32" s="25">
        <f>SUM(N27:N31)</f>
        <v>47950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36" t="s">
        <v>160</v>
      </c>
      <c r="B34" s="6">
        <f t="shared" ref="B34:K34" si="22">ROUND(B12/B32,0)</f>
        <v>68</v>
      </c>
      <c r="C34" s="6">
        <f t="shared" si="22"/>
        <v>75</v>
      </c>
      <c r="D34" s="6">
        <f t="shared" si="22"/>
        <v>83</v>
      </c>
      <c r="E34" s="6">
        <f t="shared" si="22"/>
        <v>90</v>
      </c>
      <c r="F34" s="6">
        <f t="shared" si="22"/>
        <v>98</v>
      </c>
      <c r="G34" s="6">
        <f t="shared" si="22"/>
        <v>105</v>
      </c>
      <c r="H34" s="6">
        <f t="shared" si="22"/>
        <v>113</v>
      </c>
      <c r="I34" s="6">
        <f t="shared" si="22"/>
        <v>113</v>
      </c>
      <c r="J34" s="6">
        <f t="shared" si="22"/>
        <v>120</v>
      </c>
      <c r="K34" s="6">
        <f t="shared" si="22"/>
        <v>128</v>
      </c>
    </row>
    <row r="35" spans="1:11" x14ac:dyDescent="0.25">
      <c r="A35" s="36" t="s">
        <v>166</v>
      </c>
      <c r="B35" s="6">
        <f t="shared" ref="B35:K35" si="23">ROUND(B17/B32,0)</f>
        <v>68</v>
      </c>
      <c r="C35" s="6">
        <f t="shared" si="23"/>
        <v>75</v>
      </c>
      <c r="D35" s="6">
        <f t="shared" si="23"/>
        <v>83</v>
      </c>
      <c r="E35" s="6">
        <f t="shared" si="23"/>
        <v>90</v>
      </c>
      <c r="F35" s="6">
        <f t="shared" si="23"/>
        <v>98</v>
      </c>
      <c r="G35" s="6">
        <f t="shared" si="23"/>
        <v>105</v>
      </c>
      <c r="H35" s="6">
        <f t="shared" si="23"/>
        <v>113</v>
      </c>
      <c r="I35" s="6">
        <f t="shared" si="23"/>
        <v>113</v>
      </c>
      <c r="J35" s="6">
        <f t="shared" si="23"/>
        <v>120</v>
      </c>
      <c r="K35" s="6">
        <f t="shared" si="23"/>
        <v>128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s="3" customFormat="1" x14ac:dyDescent="0.25">
      <c r="A37" s="8" t="s">
        <v>167</v>
      </c>
      <c r="B37" s="8">
        <f>B34+B35</f>
        <v>136</v>
      </c>
      <c r="C37" s="8">
        <f t="shared" ref="C37:K37" si="24">C34+C35</f>
        <v>150</v>
      </c>
      <c r="D37" s="8">
        <f t="shared" si="24"/>
        <v>166</v>
      </c>
      <c r="E37" s="8">
        <f t="shared" si="24"/>
        <v>180</v>
      </c>
      <c r="F37" s="8">
        <f t="shared" si="24"/>
        <v>196</v>
      </c>
      <c r="G37" s="8">
        <f t="shared" si="24"/>
        <v>210</v>
      </c>
      <c r="H37" s="8">
        <f t="shared" si="24"/>
        <v>226</v>
      </c>
      <c r="I37" s="8">
        <f t="shared" si="24"/>
        <v>226</v>
      </c>
      <c r="J37" s="8">
        <f t="shared" si="24"/>
        <v>240</v>
      </c>
      <c r="K37" s="8">
        <f t="shared" si="24"/>
        <v>256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zoomScale="60" zoomScaleNormal="100" workbookViewId="0">
      <selection activeCell="B11" sqref="B11:K11"/>
    </sheetView>
  </sheetViews>
  <sheetFormatPr defaultRowHeight="15" x14ac:dyDescent="0.25"/>
  <cols>
    <col min="1" max="1" width="44.140625" style="1" customWidth="1"/>
    <col min="2" max="11" width="13.7109375" style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22" t="s">
        <v>41</v>
      </c>
      <c r="H2" s="222" t="s">
        <v>42</v>
      </c>
      <c r="I2" s="222" t="s">
        <v>502</v>
      </c>
      <c r="J2" s="222" t="s">
        <v>503</v>
      </c>
      <c r="K2" s="222" t="s">
        <v>504</v>
      </c>
    </row>
    <row r="3" spans="1:11" x14ac:dyDescent="0.25">
      <c r="A3" s="26" t="s">
        <v>65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586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66</v>
      </c>
      <c r="B5" s="36">
        <v>0</v>
      </c>
      <c r="C5" s="36">
        <f>B8</f>
        <v>56</v>
      </c>
      <c r="D5" s="36">
        <f>C8</f>
        <v>63</v>
      </c>
      <c r="E5" s="36">
        <f>D8</f>
        <v>69</v>
      </c>
      <c r="F5" s="36">
        <f>E8</f>
        <v>75</v>
      </c>
      <c r="G5" s="36">
        <f t="shared" ref="G5:H5" si="0">F8</f>
        <v>81</v>
      </c>
      <c r="H5" s="36">
        <f t="shared" si="0"/>
        <v>88</v>
      </c>
      <c r="I5" s="36">
        <f t="shared" ref="I5" si="1">H8</f>
        <v>94</v>
      </c>
      <c r="J5" s="36">
        <f t="shared" ref="J5" si="2">I8</f>
        <v>94</v>
      </c>
      <c r="K5" s="36">
        <f t="shared" ref="K5" si="3">J8</f>
        <v>100</v>
      </c>
    </row>
    <row r="6" spans="1:11" x14ac:dyDescent="0.25">
      <c r="A6" s="36" t="s">
        <v>67</v>
      </c>
      <c r="B6" s="37">
        <f>SUM(B7:B8)-B5</f>
        <v>1406</v>
      </c>
      <c r="C6" s="37">
        <f>SUM(C7:C8)-C5</f>
        <v>1507</v>
      </c>
      <c r="D6" s="37">
        <f t="shared" ref="D6:K6" si="4">SUM(D7:D8)-D5</f>
        <v>1656.0000000000002</v>
      </c>
      <c r="E6" s="37">
        <f t="shared" si="4"/>
        <v>1806</v>
      </c>
      <c r="F6" s="37">
        <f t="shared" si="4"/>
        <v>1956</v>
      </c>
      <c r="G6" s="37">
        <f t="shared" si="4"/>
        <v>2107</v>
      </c>
      <c r="H6" s="37">
        <f t="shared" si="4"/>
        <v>2256</v>
      </c>
      <c r="I6" s="37">
        <f t="shared" si="4"/>
        <v>2250</v>
      </c>
      <c r="J6" s="37">
        <f t="shared" si="4"/>
        <v>2406</v>
      </c>
      <c r="K6" s="37">
        <f t="shared" si="4"/>
        <v>2556.0000000000005</v>
      </c>
    </row>
    <row r="7" spans="1:11" x14ac:dyDescent="0.25">
      <c r="A7" s="36" t="s">
        <v>68</v>
      </c>
      <c r="B7" s="37">
        <f>'Output Schedule'!B17</f>
        <v>1350</v>
      </c>
      <c r="C7" s="37">
        <f>'Output Schedule'!C17</f>
        <v>1500</v>
      </c>
      <c r="D7" s="37">
        <f>'Output Schedule'!D17</f>
        <v>1650.0000000000002</v>
      </c>
      <c r="E7" s="37">
        <f>'Output Schedule'!E17</f>
        <v>1800</v>
      </c>
      <c r="F7" s="37">
        <f>'Output Schedule'!F17</f>
        <v>1950</v>
      </c>
      <c r="G7" s="37">
        <f>'Output Schedule'!G17</f>
        <v>2100</v>
      </c>
      <c r="H7" s="37">
        <f>'Output Schedule'!H17</f>
        <v>2250</v>
      </c>
      <c r="I7" s="37">
        <f>'Output Schedule'!I17</f>
        <v>2250</v>
      </c>
      <c r="J7" s="37">
        <f>'Output Schedule'!J17</f>
        <v>2400</v>
      </c>
      <c r="K7" s="37">
        <f>'Output Schedule'!K17</f>
        <v>2550.0000000000005</v>
      </c>
    </row>
    <row r="8" spans="1:11" x14ac:dyDescent="0.25">
      <c r="A8" s="36" t="s">
        <v>69</v>
      </c>
      <c r="B8" s="36">
        <f>ROUND(B7/24,0)</f>
        <v>56</v>
      </c>
      <c r="C8" s="36">
        <f t="shared" ref="C8:K8" si="5">ROUND(C7/24,0)</f>
        <v>63</v>
      </c>
      <c r="D8" s="36">
        <f t="shared" si="5"/>
        <v>69</v>
      </c>
      <c r="E8" s="36">
        <f t="shared" si="5"/>
        <v>75</v>
      </c>
      <c r="F8" s="36">
        <f t="shared" si="5"/>
        <v>81</v>
      </c>
      <c r="G8" s="36">
        <f t="shared" si="5"/>
        <v>88</v>
      </c>
      <c r="H8" s="36">
        <f t="shared" si="5"/>
        <v>94</v>
      </c>
      <c r="I8" s="36">
        <f t="shared" si="5"/>
        <v>94</v>
      </c>
      <c r="J8" s="36">
        <f t="shared" si="5"/>
        <v>100</v>
      </c>
      <c r="K8" s="36">
        <f t="shared" si="5"/>
        <v>106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461</v>
      </c>
      <c r="B11" s="9">
        <v>45200</v>
      </c>
      <c r="C11" s="45">
        <f>ROUND(B11*1.05,-1)</f>
        <v>47460</v>
      </c>
      <c r="D11" s="45">
        <f t="shared" ref="D11:K11" si="6">ROUND(C11*1.05,-1)</f>
        <v>49830</v>
      </c>
      <c r="E11" s="45">
        <f t="shared" si="6"/>
        <v>52320</v>
      </c>
      <c r="F11" s="45">
        <f t="shared" si="6"/>
        <v>54940</v>
      </c>
      <c r="G11" s="45">
        <f t="shared" si="6"/>
        <v>57690</v>
      </c>
      <c r="H11" s="45">
        <f t="shared" si="6"/>
        <v>60570</v>
      </c>
      <c r="I11" s="45">
        <f t="shared" si="6"/>
        <v>63600</v>
      </c>
      <c r="J11" s="45">
        <f t="shared" si="6"/>
        <v>66780</v>
      </c>
      <c r="K11" s="45">
        <f t="shared" si="6"/>
        <v>70120</v>
      </c>
    </row>
    <row r="12" spans="1:11" s="40" customFormat="1" ht="30" hidden="1" x14ac:dyDescent="0.25">
      <c r="A12" s="187" t="s">
        <v>460</v>
      </c>
      <c r="B12" s="35">
        <f>B11</f>
        <v>45200</v>
      </c>
      <c r="C12" s="35">
        <f t="shared" ref="C12:H12" si="7">C11</f>
        <v>47460</v>
      </c>
      <c r="D12" s="35">
        <f t="shared" si="7"/>
        <v>49830</v>
      </c>
      <c r="E12" s="35">
        <f t="shared" si="7"/>
        <v>52320</v>
      </c>
      <c r="F12" s="35">
        <f t="shared" si="7"/>
        <v>54940</v>
      </c>
      <c r="G12" s="35">
        <f t="shared" si="7"/>
        <v>57690</v>
      </c>
      <c r="H12" s="35">
        <f t="shared" si="7"/>
        <v>60570</v>
      </c>
      <c r="I12" s="35">
        <f t="shared" ref="I12" si="8">I11</f>
        <v>63600</v>
      </c>
      <c r="J12" s="35">
        <f t="shared" ref="J12" si="9">J11</f>
        <v>66780</v>
      </c>
      <c r="K12" s="35">
        <f t="shared" ref="K12" si="10">K11</f>
        <v>70120</v>
      </c>
    </row>
    <row r="13" spans="1:1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6" t="s">
        <v>71</v>
      </c>
      <c r="B15" s="41">
        <v>0</v>
      </c>
      <c r="C15" s="41">
        <f>B16</f>
        <v>25.312000000000001</v>
      </c>
      <c r="D15" s="41">
        <f>C16</f>
        <v>29.899799999999999</v>
      </c>
      <c r="E15" s="41">
        <f t="shared" ref="E15:H15" si="11">D16</f>
        <v>34.3827</v>
      </c>
      <c r="F15" s="41">
        <f t="shared" si="11"/>
        <v>39.24</v>
      </c>
      <c r="G15" s="41">
        <f t="shared" si="11"/>
        <v>44.501399999999997</v>
      </c>
      <c r="H15" s="41">
        <f t="shared" si="11"/>
        <v>50.767200000000003</v>
      </c>
      <c r="I15" s="41">
        <f t="shared" ref="I15" si="12">H16</f>
        <v>56.9358</v>
      </c>
      <c r="J15" s="41">
        <f t="shared" ref="J15" si="13">I16</f>
        <v>59.783999999999999</v>
      </c>
      <c r="K15" s="41">
        <f t="shared" ref="K15" si="14">J16</f>
        <v>66.78</v>
      </c>
    </row>
    <row r="16" spans="1:11" x14ac:dyDescent="0.25">
      <c r="A16" s="26" t="s">
        <v>72</v>
      </c>
      <c r="B16" s="41">
        <f>B12*B8/100000</f>
        <v>25.312000000000001</v>
      </c>
      <c r="C16" s="41">
        <f t="shared" ref="C16:H16" si="15">C12*C8/100000</f>
        <v>29.899799999999999</v>
      </c>
      <c r="D16" s="41">
        <f t="shared" si="15"/>
        <v>34.3827</v>
      </c>
      <c r="E16" s="41">
        <f t="shared" si="15"/>
        <v>39.24</v>
      </c>
      <c r="F16" s="41">
        <f t="shared" si="15"/>
        <v>44.501399999999997</v>
      </c>
      <c r="G16" s="41">
        <f t="shared" si="15"/>
        <v>50.767200000000003</v>
      </c>
      <c r="H16" s="41">
        <f t="shared" si="15"/>
        <v>56.9358</v>
      </c>
      <c r="I16" s="41">
        <f t="shared" ref="I16:K16" si="16">I12*I8/100000</f>
        <v>59.783999999999999</v>
      </c>
      <c r="J16" s="41">
        <f t="shared" si="16"/>
        <v>66.78</v>
      </c>
      <c r="K16" s="41">
        <f t="shared" si="16"/>
        <v>74.327200000000005</v>
      </c>
    </row>
    <row r="18" spans="3:8" x14ac:dyDescent="0.25">
      <c r="C18" s="25"/>
      <c r="D18" s="25"/>
      <c r="E18" s="25"/>
      <c r="F18" s="25"/>
      <c r="G18" s="25"/>
      <c r="H18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sqref="A1:K6"/>
    </sheetView>
  </sheetViews>
  <sheetFormatPr defaultRowHeight="15" x14ac:dyDescent="0.25"/>
  <cols>
    <col min="1" max="1" width="31.85546875" bestFit="1" customWidth="1"/>
    <col min="2" max="3" width="12.28515625" bestFit="1" customWidth="1"/>
    <col min="4" max="4" width="11.85546875" bestFit="1" customWidth="1"/>
    <col min="5" max="5" width="12.28515625" bestFit="1" customWidth="1"/>
    <col min="6" max="6" width="13.42578125" bestFit="1" customWidth="1"/>
    <col min="7" max="7" width="12.5703125" bestFit="1" customWidth="1"/>
    <col min="8" max="8" width="13" bestFit="1" customWidth="1"/>
    <col min="9" max="10" width="13.42578125" bestFit="1" customWidth="1"/>
    <col min="11" max="11" width="13" bestFit="1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22" t="s">
        <v>42</v>
      </c>
      <c r="I1" s="222" t="s">
        <v>502</v>
      </c>
      <c r="J1" s="222" t="s">
        <v>503</v>
      </c>
      <c r="K1" s="222" t="s">
        <v>504</v>
      </c>
    </row>
    <row r="2" spans="1:11" x14ac:dyDescent="0.25">
      <c r="A2" s="26"/>
      <c r="B2" s="27"/>
      <c r="C2" s="27"/>
      <c r="D2" s="27"/>
      <c r="E2" s="27"/>
      <c r="F2" s="27"/>
      <c r="G2" s="27"/>
      <c r="H2" s="220"/>
      <c r="I2" s="18"/>
      <c r="J2" s="18"/>
      <c r="K2" s="18"/>
    </row>
    <row r="3" spans="1:11" x14ac:dyDescent="0.25">
      <c r="A3" s="36" t="s">
        <v>586</v>
      </c>
      <c r="B3" s="36">
        <f>ROUND('CS-RM'!B6,0)</f>
        <v>1406</v>
      </c>
      <c r="C3" s="36">
        <f>ROUND('CS-RM'!C6,0)</f>
        <v>1507</v>
      </c>
      <c r="D3" s="36">
        <f>ROUND('CS-RM'!D6,0)</f>
        <v>1656</v>
      </c>
      <c r="E3" s="36">
        <f>ROUND('CS-RM'!E6,0)</f>
        <v>1806</v>
      </c>
      <c r="F3" s="36">
        <f>ROUND('CS-RM'!F6,0)</f>
        <v>1956</v>
      </c>
      <c r="G3" s="36">
        <f>ROUND('CS-RM'!G6,0)</f>
        <v>2107</v>
      </c>
      <c r="H3" s="36">
        <f>ROUND('CS-RM'!H6,0)</f>
        <v>2256</v>
      </c>
      <c r="I3" s="36">
        <f>ROUND('CS-RM'!I6,0)</f>
        <v>2250</v>
      </c>
      <c r="J3" s="36">
        <f>ROUND('CS-RM'!J6,0)</f>
        <v>2406</v>
      </c>
      <c r="K3" s="36">
        <f>ROUND('CS-RM'!K6,0)</f>
        <v>2556</v>
      </c>
    </row>
    <row r="4" spans="1:11" x14ac:dyDescent="0.25">
      <c r="A4" s="36" t="s">
        <v>620</v>
      </c>
      <c r="B4" s="42">
        <f>'CS-RM'!B12</f>
        <v>45200</v>
      </c>
      <c r="C4" s="42">
        <f>'CS-RM'!C12</f>
        <v>47460</v>
      </c>
      <c r="D4" s="42">
        <f>'CS-RM'!D12</f>
        <v>49830</v>
      </c>
      <c r="E4" s="42">
        <f>'CS-RM'!E12</f>
        <v>52320</v>
      </c>
      <c r="F4" s="42">
        <f>'CS-RM'!F12</f>
        <v>54940</v>
      </c>
      <c r="G4" s="42">
        <f>'CS-RM'!G12</f>
        <v>57690</v>
      </c>
      <c r="H4" s="42">
        <f>'CS-RM'!H12</f>
        <v>60570</v>
      </c>
      <c r="I4" s="42">
        <f>'CS-RM'!I12</f>
        <v>63600</v>
      </c>
      <c r="J4" s="42">
        <f>'CS-RM'!J12</f>
        <v>66780</v>
      </c>
      <c r="K4" s="42">
        <f>'CS-RM'!K12</f>
        <v>70120</v>
      </c>
    </row>
    <row r="5" spans="1:11" x14ac:dyDescent="0.25">
      <c r="A5" s="36"/>
      <c r="B5" s="42"/>
      <c r="C5" s="42"/>
      <c r="D5" s="42"/>
      <c r="E5" s="42"/>
      <c r="F5" s="42"/>
      <c r="G5" s="18"/>
      <c r="H5" s="18"/>
      <c r="I5" s="18"/>
      <c r="J5" s="18"/>
      <c r="K5" s="18"/>
    </row>
    <row r="6" spans="1:11" x14ac:dyDescent="0.25">
      <c r="A6" s="26" t="s">
        <v>76</v>
      </c>
      <c r="B6" s="41">
        <f>B3*B4/100000</f>
        <v>635.51199999999994</v>
      </c>
      <c r="C6" s="41">
        <f t="shared" ref="C6:K6" si="0">C3*C4/100000</f>
        <v>715.22220000000004</v>
      </c>
      <c r="D6" s="41">
        <f t="shared" si="0"/>
        <v>825.1848</v>
      </c>
      <c r="E6" s="41">
        <f t="shared" si="0"/>
        <v>944.89919999999995</v>
      </c>
      <c r="F6" s="41">
        <f t="shared" si="0"/>
        <v>1074.6264000000001</v>
      </c>
      <c r="G6" s="41">
        <f t="shared" si="0"/>
        <v>1215.5282999999999</v>
      </c>
      <c r="H6" s="41">
        <f t="shared" si="0"/>
        <v>1366.4592</v>
      </c>
      <c r="I6" s="41">
        <f t="shared" si="0"/>
        <v>1431</v>
      </c>
      <c r="J6" s="41">
        <f t="shared" si="0"/>
        <v>1606.7267999999999</v>
      </c>
      <c r="K6" s="41">
        <f t="shared" si="0"/>
        <v>1792.2672</v>
      </c>
    </row>
    <row r="8" spans="1:11" hidden="1" x14ac:dyDescent="0.25">
      <c r="B8" s="24">
        <f>B3*'CS-RM'!B11/100000</f>
        <v>635.51199999999994</v>
      </c>
      <c r="C8" s="24">
        <f>C3*'CS-RM'!C11/100000</f>
        <v>715.22220000000004</v>
      </c>
      <c r="D8" s="24">
        <f>D3*'CS-RM'!D11/100000</f>
        <v>825.1848</v>
      </c>
      <c r="E8" s="24">
        <f>E3*'CS-RM'!E11/100000</f>
        <v>944.89919999999995</v>
      </c>
      <c r="F8" s="24">
        <f>F3*'CS-RM'!F11/100000</f>
        <v>1074.6264000000001</v>
      </c>
      <c r="G8" s="24">
        <f>G3*'CS-RM'!G11/100000</f>
        <v>1215.5282999999999</v>
      </c>
      <c r="H8" s="24">
        <f>H3*'CS-RM'!H11/100000</f>
        <v>1366.4592</v>
      </c>
    </row>
    <row r="9" spans="1:11" hidden="1" x14ac:dyDescent="0.25"/>
    <row r="10" spans="1:11" hidden="1" x14ac:dyDescent="0.25">
      <c r="B10" s="24">
        <f>B8-B6</f>
        <v>0</v>
      </c>
      <c r="C10" s="24">
        <f t="shared" ref="C10:H10" si="1">C8-C6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</row>
    <row r="11" spans="1:11" hidden="1" x14ac:dyDescent="0.25"/>
    <row r="12" spans="1:11" hidden="1" x14ac:dyDescent="0.25">
      <c r="B12" s="24">
        <f>'Production Level Support'!B3</f>
        <v>0</v>
      </c>
      <c r="C12" s="24">
        <f>'Production Level Support'!C3</f>
        <v>0</v>
      </c>
      <c r="D12" s="24">
        <f>'Production Level Support'!D3</f>
        <v>0</v>
      </c>
      <c r="E12" s="24">
        <f>'Production Level Support'!E3</f>
        <v>0</v>
      </c>
      <c r="F12" s="24">
        <f>'Production Level Support'!F3</f>
        <v>0</v>
      </c>
      <c r="G12" s="24">
        <f>'Production Level Support'!G3</f>
        <v>0</v>
      </c>
      <c r="H12" s="24">
        <f>'Production Level Support'!H3</f>
        <v>0</v>
      </c>
    </row>
    <row r="13" spans="1:11" hidden="1" x14ac:dyDescent="0.25"/>
    <row r="14" spans="1:11" hidden="1" x14ac:dyDescent="0.25">
      <c r="B14" s="24">
        <f>B10-B12</f>
        <v>0</v>
      </c>
      <c r="C14" s="24">
        <f t="shared" ref="C14:H14" si="2">C10-C12</f>
        <v>0</v>
      </c>
      <c r="D14" s="24">
        <f t="shared" si="2"/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</row>
    <row r="15" spans="1:11" hidden="1" x14ac:dyDescent="0.25"/>
    <row r="17" spans="2:2" x14ac:dyDescent="0.25">
      <c r="B17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zoomScale="60" zoomScaleNormal="100" workbookViewId="0">
      <selection activeCell="C18" sqref="C18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6" width="12.28515625" style="1" bestFit="1" customWidth="1"/>
    <col min="7" max="12" width="13.42578125" style="1" bestFit="1" customWidth="1"/>
    <col min="13" max="16384" width="9.140625" style="1"/>
  </cols>
  <sheetData>
    <row r="1" spans="1:12" x14ac:dyDescent="0.25">
      <c r="A1" s="46" t="s">
        <v>77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22" t="s">
        <v>42</v>
      </c>
      <c r="J1" s="222" t="s">
        <v>502</v>
      </c>
      <c r="K1" s="222" t="s">
        <v>503</v>
      </c>
      <c r="L1" s="222" t="s">
        <v>504</v>
      </c>
    </row>
    <row r="2" spans="1:12" x14ac:dyDescent="0.25">
      <c r="A2" s="7" t="s">
        <v>79</v>
      </c>
      <c r="B2" s="26" t="str">
        <f>'CS-FG'!B4</f>
        <v>Polished Rice</v>
      </c>
      <c r="C2" s="36">
        <f>'CS-FG'!C7</f>
        <v>1209</v>
      </c>
      <c r="D2" s="36">
        <f>'CS-FG'!D7</f>
        <v>1398</v>
      </c>
      <c r="E2" s="36">
        <f>'CS-FG'!E7</f>
        <v>1537</v>
      </c>
      <c r="F2" s="36">
        <f>'CS-FG'!F7</f>
        <v>1677</v>
      </c>
      <c r="G2" s="36">
        <f>'CS-FG'!G7</f>
        <v>1817</v>
      </c>
      <c r="H2" s="36">
        <f>'CS-FG'!H7</f>
        <v>1958</v>
      </c>
      <c r="I2" s="36">
        <f>'CS-FG'!I7</f>
        <v>2098</v>
      </c>
      <c r="J2" s="36">
        <f>'CS-FG'!J7</f>
        <v>2104</v>
      </c>
      <c r="K2" s="36">
        <f>'CS-FG'!K7</f>
        <v>2238</v>
      </c>
      <c r="L2" s="36">
        <f>'CS-FG'!L7</f>
        <v>2379</v>
      </c>
    </row>
    <row r="3" spans="1:12" x14ac:dyDescent="0.25">
      <c r="A3" s="6"/>
      <c r="B3" s="36" t="s">
        <v>75</v>
      </c>
      <c r="C3" s="42">
        <f>'CS-FG'!C29</f>
        <v>50000</v>
      </c>
      <c r="D3" s="42">
        <f>'CS-FG'!D29</f>
        <v>52500</v>
      </c>
      <c r="E3" s="42">
        <f>'CS-FG'!E29</f>
        <v>55130</v>
      </c>
      <c r="F3" s="42">
        <f>'CS-FG'!F29</f>
        <v>57890</v>
      </c>
      <c r="G3" s="42">
        <f>'CS-FG'!G29</f>
        <v>60780</v>
      </c>
      <c r="H3" s="42">
        <f>'CS-FG'!H29</f>
        <v>63820</v>
      </c>
      <c r="I3" s="42">
        <f>'CS-FG'!I29</f>
        <v>67010</v>
      </c>
      <c r="J3" s="42">
        <f>'CS-FG'!J29</f>
        <v>70360</v>
      </c>
      <c r="K3" s="42">
        <f>'CS-FG'!K29</f>
        <v>73880</v>
      </c>
      <c r="L3" s="42">
        <f>'CS-FG'!L29</f>
        <v>77570</v>
      </c>
    </row>
    <row r="4" spans="1:12" x14ac:dyDescent="0.25">
      <c r="A4" s="6"/>
      <c r="B4" s="26" t="s">
        <v>88</v>
      </c>
      <c r="C4" s="41">
        <f>C2*C3/100000</f>
        <v>604.5</v>
      </c>
      <c r="D4" s="41">
        <f t="shared" ref="D4:I4" si="0">D2*D3/100000</f>
        <v>733.95</v>
      </c>
      <c r="E4" s="41">
        <f t="shared" si="0"/>
        <v>847.34810000000004</v>
      </c>
      <c r="F4" s="41">
        <f t="shared" si="0"/>
        <v>970.81529999999998</v>
      </c>
      <c r="G4" s="41">
        <f t="shared" si="0"/>
        <v>1104.3725999999999</v>
      </c>
      <c r="H4" s="41">
        <f t="shared" si="0"/>
        <v>1249.5956000000001</v>
      </c>
      <c r="I4" s="41">
        <f t="shared" si="0"/>
        <v>1405.8697999999999</v>
      </c>
      <c r="J4" s="41">
        <f t="shared" ref="J4:L4" si="1">J2*J3/100000</f>
        <v>1480.3743999999999</v>
      </c>
      <c r="K4" s="41">
        <f t="shared" si="1"/>
        <v>1653.4344000000001</v>
      </c>
      <c r="L4" s="41">
        <f t="shared" si="1"/>
        <v>1845.3903</v>
      </c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84</v>
      </c>
      <c r="B6" s="26" t="str">
        <f>'CS-FG'!B10</f>
        <v>Raw Jari</v>
      </c>
      <c r="C6" s="36">
        <f>'CS-FG'!C13</f>
        <v>19</v>
      </c>
      <c r="D6" s="36">
        <f>'CS-FG'!D13</f>
        <v>23</v>
      </c>
      <c r="E6" s="36">
        <f>'CS-FG'!E13</f>
        <v>25</v>
      </c>
      <c r="F6" s="36">
        <f>'CS-FG'!F13</f>
        <v>27</v>
      </c>
      <c r="G6" s="36">
        <f>'CS-FG'!G13</f>
        <v>29</v>
      </c>
      <c r="H6" s="36">
        <f>'CS-FG'!H13</f>
        <v>32</v>
      </c>
      <c r="I6" s="36">
        <f>'CS-FG'!I13</f>
        <v>34</v>
      </c>
      <c r="J6" s="36">
        <f>'CS-FG'!J13</f>
        <v>34</v>
      </c>
      <c r="K6" s="36">
        <f>'CS-FG'!K13</f>
        <v>35</v>
      </c>
      <c r="L6" s="36">
        <f>'CS-FG'!L13</f>
        <v>38</v>
      </c>
    </row>
    <row r="7" spans="1:12" x14ac:dyDescent="0.25">
      <c r="A7" s="6"/>
      <c r="B7" s="36" t="s">
        <v>75</v>
      </c>
      <c r="C7" s="42">
        <f>'CS-FG'!C30</f>
        <v>14000</v>
      </c>
      <c r="D7" s="42">
        <f>'CS-FG'!D30</f>
        <v>14700</v>
      </c>
      <c r="E7" s="42">
        <f>'CS-FG'!E30</f>
        <v>15440</v>
      </c>
      <c r="F7" s="42">
        <f>'CS-FG'!F30</f>
        <v>16210</v>
      </c>
      <c r="G7" s="42">
        <f>'CS-FG'!G30</f>
        <v>17020</v>
      </c>
      <c r="H7" s="42">
        <f>'CS-FG'!H30</f>
        <v>17870</v>
      </c>
      <c r="I7" s="42">
        <f>'CS-FG'!I30</f>
        <v>18760</v>
      </c>
      <c r="J7" s="42">
        <f>'CS-FG'!J30</f>
        <v>19700</v>
      </c>
      <c r="K7" s="42">
        <f>'CS-FG'!K30</f>
        <v>20690</v>
      </c>
      <c r="L7" s="42">
        <f>'CS-FG'!L30</f>
        <v>21720</v>
      </c>
    </row>
    <row r="8" spans="1:12" x14ac:dyDescent="0.25">
      <c r="A8" s="6"/>
      <c r="B8" s="26" t="s">
        <v>88</v>
      </c>
      <c r="C8" s="41">
        <f>C6*C7/100000</f>
        <v>2.66</v>
      </c>
      <c r="D8" s="41">
        <f t="shared" ref="D8:I8" si="2">D6*D7/100000</f>
        <v>3.3809999999999998</v>
      </c>
      <c r="E8" s="41">
        <f t="shared" si="2"/>
        <v>3.86</v>
      </c>
      <c r="F8" s="41">
        <f t="shared" si="2"/>
        <v>4.3766999999999996</v>
      </c>
      <c r="G8" s="41">
        <f t="shared" si="2"/>
        <v>4.9358000000000004</v>
      </c>
      <c r="H8" s="41">
        <f t="shared" si="2"/>
        <v>5.7183999999999999</v>
      </c>
      <c r="I8" s="41">
        <f t="shared" si="2"/>
        <v>6.3784000000000001</v>
      </c>
      <c r="J8" s="41">
        <f t="shared" ref="J8:L8" si="3">J6*J7/100000</f>
        <v>6.6980000000000004</v>
      </c>
      <c r="K8" s="41">
        <f t="shared" si="3"/>
        <v>7.2415000000000003</v>
      </c>
      <c r="L8" s="41">
        <f t="shared" si="3"/>
        <v>8.2536000000000005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 t="s">
        <v>85</v>
      </c>
      <c r="B10" s="26" t="str">
        <f>'CS-FG'!B16</f>
        <v>Broken</v>
      </c>
      <c r="C10" s="36">
        <f>'CS-FG'!C19</f>
        <v>39</v>
      </c>
      <c r="D10" s="36">
        <f>'CS-FG'!D19</f>
        <v>31</v>
      </c>
      <c r="E10" s="36">
        <f>'CS-FG'!E19</f>
        <v>33</v>
      </c>
      <c r="F10" s="36">
        <f>'CS-FG'!F19</f>
        <v>35</v>
      </c>
      <c r="G10" s="36">
        <f>'CS-FG'!G19</f>
        <v>39</v>
      </c>
      <c r="H10" s="36">
        <f>'CS-FG'!H19</f>
        <v>42</v>
      </c>
      <c r="I10" s="36">
        <f>'CS-FG'!I19</f>
        <v>45</v>
      </c>
      <c r="J10" s="36">
        <f>'CS-FG'!J19</f>
        <v>45</v>
      </c>
      <c r="K10" s="36">
        <f>'CS-FG'!K19</f>
        <v>48</v>
      </c>
      <c r="L10" s="36">
        <f>'CS-FG'!L19</f>
        <v>51</v>
      </c>
    </row>
    <row r="11" spans="1:12" x14ac:dyDescent="0.25">
      <c r="A11" s="6"/>
      <c r="B11" s="36" t="s">
        <v>75</v>
      </c>
      <c r="C11" s="42">
        <f>'CS-FG'!C31</f>
        <v>25000</v>
      </c>
      <c r="D11" s="42">
        <f>'CS-FG'!D31</f>
        <v>26250</v>
      </c>
      <c r="E11" s="42">
        <f>'CS-FG'!E31</f>
        <v>27560</v>
      </c>
      <c r="F11" s="42">
        <f>'CS-FG'!F31</f>
        <v>28940</v>
      </c>
      <c r="G11" s="42">
        <f>'CS-FG'!G31</f>
        <v>30390</v>
      </c>
      <c r="H11" s="42">
        <f>'CS-FG'!H31</f>
        <v>31910</v>
      </c>
      <c r="I11" s="42">
        <f>'CS-FG'!I31</f>
        <v>33510</v>
      </c>
      <c r="J11" s="42">
        <f>'CS-FG'!J31</f>
        <v>35190</v>
      </c>
      <c r="K11" s="42">
        <f>'CS-FG'!K31</f>
        <v>36950</v>
      </c>
      <c r="L11" s="42">
        <f>'CS-FG'!L31</f>
        <v>38800</v>
      </c>
    </row>
    <row r="12" spans="1:12" x14ac:dyDescent="0.25">
      <c r="A12" s="6"/>
      <c r="B12" s="26" t="s">
        <v>88</v>
      </c>
      <c r="C12" s="41">
        <f>C10*C11/100000</f>
        <v>9.75</v>
      </c>
      <c r="D12" s="41">
        <f t="shared" ref="D12:I12" si="4">D10*D11/100000</f>
        <v>8.1374999999999993</v>
      </c>
      <c r="E12" s="41">
        <f t="shared" si="4"/>
        <v>9.0947999999999993</v>
      </c>
      <c r="F12" s="41">
        <f t="shared" si="4"/>
        <v>10.129</v>
      </c>
      <c r="G12" s="41">
        <f t="shared" si="4"/>
        <v>11.8521</v>
      </c>
      <c r="H12" s="41">
        <f t="shared" si="4"/>
        <v>13.402200000000001</v>
      </c>
      <c r="I12" s="41">
        <f t="shared" si="4"/>
        <v>15.079499999999999</v>
      </c>
      <c r="J12" s="41">
        <f t="shared" ref="J12:L12" si="5">J10*J11/100000</f>
        <v>15.8355</v>
      </c>
      <c r="K12" s="41">
        <f t="shared" si="5"/>
        <v>17.736000000000001</v>
      </c>
      <c r="L12" s="41">
        <f t="shared" si="5"/>
        <v>19.788</v>
      </c>
    </row>
    <row r="13" spans="1:12" x14ac:dyDescent="0.25">
      <c r="A13" s="6"/>
      <c r="B13" s="26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x14ac:dyDescent="0.25">
      <c r="A14" s="264" t="s">
        <v>85</v>
      </c>
      <c r="B14" s="26" t="str">
        <f>'CS-FG'!B22</f>
        <v>Powder</v>
      </c>
      <c r="C14" s="36">
        <f>'CS-FG'!C25</f>
        <v>26</v>
      </c>
      <c r="D14" s="36">
        <f>'CS-FG'!D25</f>
        <v>30</v>
      </c>
      <c r="E14" s="36">
        <f>'CS-FG'!E25</f>
        <v>33</v>
      </c>
      <c r="F14" s="36">
        <f>'CS-FG'!F25</f>
        <v>35</v>
      </c>
      <c r="G14" s="36">
        <f>'CS-FG'!G25</f>
        <v>39</v>
      </c>
      <c r="H14" s="36">
        <f>'CS-FG'!H25</f>
        <v>42</v>
      </c>
      <c r="I14" s="36">
        <f>'CS-FG'!I25</f>
        <v>45</v>
      </c>
      <c r="J14" s="36">
        <f>'CS-FG'!J25</f>
        <v>45</v>
      </c>
      <c r="K14" s="36">
        <f>'CS-FG'!K25</f>
        <v>48</v>
      </c>
      <c r="L14" s="36">
        <f>'CS-FG'!L25</f>
        <v>51</v>
      </c>
    </row>
    <row r="15" spans="1:12" x14ac:dyDescent="0.25">
      <c r="A15" s="6"/>
      <c r="B15" s="36" t="s">
        <v>75</v>
      </c>
      <c r="C15" s="42">
        <f>'CS-FG'!C32</f>
        <v>12000</v>
      </c>
      <c r="D15" s="42">
        <f>'CS-FG'!D32</f>
        <v>12600</v>
      </c>
      <c r="E15" s="42">
        <f>'CS-FG'!E32</f>
        <v>13230</v>
      </c>
      <c r="F15" s="42">
        <f>'CS-FG'!F32</f>
        <v>13890</v>
      </c>
      <c r="G15" s="42">
        <f>'CS-FG'!G32</f>
        <v>14580</v>
      </c>
      <c r="H15" s="42">
        <f>'CS-FG'!H32</f>
        <v>15310</v>
      </c>
      <c r="I15" s="42">
        <f>'CS-FG'!I32</f>
        <v>16080</v>
      </c>
      <c r="J15" s="42">
        <f>'CS-FG'!J32</f>
        <v>16880</v>
      </c>
      <c r="K15" s="42">
        <f>'CS-FG'!K32</f>
        <v>17720</v>
      </c>
      <c r="L15" s="42">
        <f>'CS-FG'!L32</f>
        <v>18610</v>
      </c>
    </row>
    <row r="16" spans="1:12" x14ac:dyDescent="0.25">
      <c r="A16" s="6"/>
      <c r="B16" s="26" t="s">
        <v>88</v>
      </c>
      <c r="C16" s="41">
        <f>C14*C15/100000</f>
        <v>3.12</v>
      </c>
      <c r="D16" s="41">
        <f t="shared" ref="D16:L16" si="6">D14*D15/100000</f>
        <v>3.78</v>
      </c>
      <c r="E16" s="41">
        <f t="shared" si="6"/>
        <v>4.3658999999999999</v>
      </c>
      <c r="F16" s="41">
        <f t="shared" si="6"/>
        <v>4.8615000000000004</v>
      </c>
      <c r="G16" s="41">
        <f t="shared" si="6"/>
        <v>5.6862000000000004</v>
      </c>
      <c r="H16" s="41">
        <f t="shared" si="6"/>
        <v>6.4302000000000001</v>
      </c>
      <c r="I16" s="41">
        <f t="shared" si="6"/>
        <v>7.2359999999999998</v>
      </c>
      <c r="J16" s="41">
        <f t="shared" si="6"/>
        <v>7.5960000000000001</v>
      </c>
      <c r="K16" s="41">
        <f t="shared" si="6"/>
        <v>8.5055999999999994</v>
      </c>
      <c r="L16" s="41">
        <f t="shared" si="6"/>
        <v>9.4910999999999994</v>
      </c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8" t="s">
        <v>89</v>
      </c>
      <c r="C18" s="11">
        <f>C12+C8+C4+C16</f>
        <v>620.03</v>
      </c>
      <c r="D18" s="11">
        <f t="shared" ref="D18:L18" si="7">D12+D8+D4+D16</f>
        <v>749.24850000000004</v>
      </c>
      <c r="E18" s="11">
        <f t="shared" si="7"/>
        <v>864.66880000000003</v>
      </c>
      <c r="F18" s="11">
        <f t="shared" si="7"/>
        <v>990.1825</v>
      </c>
      <c r="G18" s="11">
        <f t="shared" si="7"/>
        <v>1126.8467000000001</v>
      </c>
      <c r="H18" s="11">
        <f t="shared" si="7"/>
        <v>1275.1464000000001</v>
      </c>
      <c r="I18" s="11">
        <f t="shared" si="7"/>
        <v>1434.5637000000002</v>
      </c>
      <c r="J18" s="11">
        <f t="shared" si="7"/>
        <v>1510.5038999999999</v>
      </c>
      <c r="K18" s="11">
        <f t="shared" si="7"/>
        <v>1686.9175</v>
      </c>
      <c r="L18" s="11">
        <f t="shared" si="7"/>
        <v>1882.923</v>
      </c>
    </row>
  </sheetData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6</vt:i4>
      </vt:variant>
    </vt:vector>
  </HeadingPairs>
  <TitlesOfParts>
    <vt:vector size="44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Sales Schedule</vt:lpstr>
      <vt:lpstr>CS-FG</vt:lpstr>
      <vt:lpstr>Farm Implement Business</vt:lpstr>
      <vt:lpstr>Production Level Support</vt:lpstr>
      <vt:lpstr>Manpower Schedule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NPV</vt:lpstr>
      <vt:lpstr>IRR</vt:lpstr>
      <vt:lpstr>ROCE and Payback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'Capital Cost'!Print_Area</vt:lpstr>
      <vt:lpstr>Depn!Print_Area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dcterms:created xsi:type="dcterms:W3CDTF">2020-07-01T05:43:42Z</dcterms:created>
  <dcterms:modified xsi:type="dcterms:W3CDTF">2022-05-10T15:03:15Z</dcterms:modified>
</cp:coreProperties>
</file>